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8070"/>
  </bookViews>
  <sheets>
    <sheet name="схема теплоснабжения" sheetId="1" r:id="rId1"/>
  </sheets>
  <definedNames>
    <definedName name="_xlnm.Print_Titles" localSheetId="0">'схема теплоснабжения'!$10:$12</definedName>
    <definedName name="_xlnm.Print_Area" localSheetId="0">'схема теплоснабжения'!$B$1:$AF$218</definedName>
  </definedNames>
  <calcPr calcId="145621" iterate="1"/>
</workbook>
</file>

<file path=xl/calcChain.xml><?xml version="1.0" encoding="utf-8"?>
<calcChain xmlns="http://schemas.openxmlformats.org/spreadsheetml/2006/main">
  <c r="Z149" i="1" l="1"/>
  <c r="AA149" i="1" s="1"/>
  <c r="AB149" i="1" s="1"/>
  <c r="AC149" i="1" s="1"/>
  <c r="AD149" i="1" s="1"/>
  <c r="AE149" i="1" s="1"/>
  <c r="AF149" i="1" s="1"/>
  <c r="Z148" i="1"/>
  <c r="AA148" i="1" s="1"/>
  <c r="AB148" i="1" s="1"/>
  <c r="AC148" i="1" s="1"/>
  <c r="AD148" i="1" s="1"/>
  <c r="AE148" i="1" s="1"/>
  <c r="AF148" i="1" s="1"/>
  <c r="AA146" i="1"/>
  <c r="AB146" i="1" s="1"/>
  <c r="AC146" i="1" s="1"/>
  <c r="AD146" i="1" s="1"/>
  <c r="AE146" i="1" s="1"/>
  <c r="AF146" i="1" s="1"/>
  <c r="Z146" i="1"/>
  <c r="N144" i="1" l="1"/>
  <c r="O144" i="1"/>
  <c r="P144" i="1"/>
  <c r="Q144" i="1"/>
  <c r="R144" i="1"/>
  <c r="S144" i="1"/>
  <c r="T144" i="1"/>
  <c r="U144" i="1"/>
  <c r="V144" i="1"/>
  <c r="W144" i="1"/>
  <c r="X144" i="1"/>
  <c r="N145" i="1"/>
  <c r="O145" i="1"/>
  <c r="P145" i="1"/>
  <c r="Q145" i="1"/>
  <c r="R145" i="1"/>
  <c r="S145" i="1"/>
  <c r="T145" i="1"/>
  <c r="U145" i="1"/>
  <c r="V145" i="1"/>
  <c r="W145" i="1"/>
  <c r="X145" i="1"/>
  <c r="Z30" i="1"/>
  <c r="Z34" i="1"/>
  <c r="Z33" i="1"/>
  <c r="Z27" i="1"/>
  <c r="Z23" i="1"/>
  <c r="AB23" i="1" s="1"/>
  <c r="Z81" i="1"/>
  <c r="AA81" i="1"/>
  <c r="AB81" i="1"/>
  <c r="AC81" i="1"/>
  <c r="AD81" i="1"/>
  <c r="AE81" i="1"/>
  <c r="AF81" i="1"/>
  <c r="Y30" i="1"/>
  <c r="S30" i="1"/>
  <c r="AA23" i="1" l="1"/>
  <c r="AA175" i="1"/>
  <c r="AB175" i="1" s="1"/>
  <c r="AC175" i="1" s="1"/>
  <c r="AD175" i="1" s="1"/>
  <c r="AE175" i="1" s="1"/>
  <c r="AF175" i="1" s="1"/>
  <c r="AA138" i="1"/>
  <c r="AB138" i="1"/>
  <c r="AC138" i="1"/>
  <c r="AD138" i="1"/>
  <c r="AE138" i="1"/>
  <c r="AF138" i="1"/>
  <c r="Z138" i="1"/>
  <c r="Z164" i="1" l="1"/>
  <c r="Z168" i="1"/>
  <c r="AA168" i="1" s="1"/>
  <c r="AB168" i="1" s="1"/>
  <c r="AC168" i="1" s="1"/>
  <c r="AD168" i="1" s="1"/>
  <c r="AE168" i="1" s="1"/>
  <c r="AF168" i="1" s="1"/>
  <c r="Z152" i="1"/>
  <c r="AA152" i="1" s="1"/>
  <c r="AB152" i="1" s="1"/>
  <c r="AC152" i="1" s="1"/>
  <c r="AD152" i="1" s="1"/>
  <c r="AE152" i="1" s="1"/>
  <c r="AF152" i="1" s="1"/>
  <c r="Z153" i="1"/>
  <c r="AA153" i="1" s="1"/>
  <c r="AB153" i="1" s="1"/>
  <c r="AC153" i="1" s="1"/>
  <c r="AD153" i="1" s="1"/>
  <c r="AE153" i="1" s="1"/>
  <c r="AF153" i="1" s="1"/>
  <c r="Z151" i="1"/>
  <c r="AA151" i="1" s="1"/>
  <c r="AB151" i="1" s="1"/>
  <c r="AC151" i="1" s="1"/>
  <c r="AD151" i="1" s="1"/>
  <c r="AE151" i="1" s="1"/>
  <c r="AF151" i="1" s="1"/>
  <c r="O118" i="1"/>
  <c r="P118" i="1"/>
  <c r="Q118" i="1"/>
  <c r="R118" i="1"/>
  <c r="T118" i="1"/>
  <c r="U118" i="1"/>
  <c r="V118" i="1"/>
  <c r="W118" i="1"/>
  <c r="X118" i="1"/>
  <c r="Y119" i="1"/>
  <c r="S119" i="1"/>
  <c r="S51" i="1"/>
  <c r="Y34" i="1"/>
  <c r="Y33" i="1"/>
  <c r="S34" i="1"/>
  <c r="S33" i="1"/>
  <c r="Y27" i="1"/>
  <c r="S27" i="1"/>
  <c r="T64" i="1" l="1"/>
  <c r="U64" i="1"/>
  <c r="V64" i="1"/>
  <c r="W64" i="1"/>
  <c r="X64" i="1"/>
  <c r="AA203" i="1"/>
  <c r="AB203" i="1" s="1"/>
  <c r="AC203" i="1" s="1"/>
  <c r="Z203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N202" i="1"/>
  <c r="T48" i="1"/>
  <c r="U48" i="1"/>
  <c r="V48" i="1"/>
  <c r="W48" i="1"/>
  <c r="X48" i="1"/>
  <c r="AF25" i="1"/>
  <c r="AF202" i="1" s="1"/>
  <c r="AF35" i="1"/>
  <c r="AE35" i="1"/>
  <c r="AD35" i="1"/>
  <c r="AA30" i="1"/>
  <c r="AE25" i="1"/>
  <c r="AE202" i="1" s="1"/>
  <c r="AD25" i="1"/>
  <c r="AD202" i="1" s="1"/>
  <c r="AC25" i="1"/>
  <c r="AC202" i="1" s="1"/>
  <c r="AB25" i="1"/>
  <c r="AB202" i="1" s="1"/>
  <c r="AA25" i="1"/>
  <c r="AA202" i="1" s="1"/>
  <c r="AC35" i="1"/>
  <c r="AC34" i="1"/>
  <c r="AC33" i="1"/>
  <c r="AB35" i="1"/>
  <c r="AB34" i="1"/>
  <c r="AB33" i="1"/>
  <c r="AA35" i="1"/>
  <c r="AA34" i="1"/>
  <c r="AA33" i="1"/>
  <c r="AD203" i="1" l="1"/>
  <c r="AE203" i="1" s="1"/>
  <c r="AF203" i="1" s="1"/>
  <c r="Z43" i="1"/>
  <c r="AF23" i="1"/>
  <c r="AE23" i="1"/>
  <c r="AD23" i="1"/>
  <c r="AC23" i="1"/>
  <c r="AB30" i="1"/>
  <c r="AC30" i="1"/>
  <c r="AD30" i="1"/>
  <c r="AE30" i="1"/>
  <c r="AF30" i="1"/>
  <c r="AF34" i="1"/>
  <c r="AF33" i="1"/>
  <c r="AE34" i="1"/>
  <c r="AE33" i="1"/>
  <c r="AD34" i="1"/>
  <c r="AD33" i="1"/>
  <c r="Z51" i="1"/>
  <c r="AA51" i="1" s="1"/>
  <c r="AE42" i="1"/>
  <c r="Z47" i="1"/>
  <c r="AA47" i="1" s="1"/>
  <c r="AB47" i="1" s="1"/>
  <c r="AC47" i="1" s="1"/>
  <c r="AD47" i="1" s="1"/>
  <c r="AE47" i="1" s="1"/>
  <c r="AF47" i="1" s="1"/>
  <c r="Z156" i="1"/>
  <c r="AA156" i="1" s="1"/>
  <c r="Z170" i="1"/>
  <c r="AA170" i="1" s="1"/>
  <c r="AB170" i="1" s="1"/>
  <c r="AC170" i="1" s="1"/>
  <c r="AD170" i="1" s="1"/>
  <c r="AE170" i="1" s="1"/>
  <c r="AF170" i="1" s="1"/>
  <c r="T52" i="1"/>
  <c r="U52" i="1"/>
  <c r="V52" i="1"/>
  <c r="W52" i="1"/>
  <c r="X52" i="1"/>
  <c r="Y41" i="1"/>
  <c r="S41" i="1"/>
  <c r="Y23" i="1"/>
  <c r="S23" i="1"/>
  <c r="T18" i="1"/>
  <c r="U18" i="1"/>
  <c r="V18" i="1"/>
  <c r="W18" i="1"/>
  <c r="X18" i="1"/>
  <c r="O76" i="1"/>
  <c r="P76" i="1"/>
  <c r="P94" i="1" s="1"/>
  <c r="Q76" i="1"/>
  <c r="Q82" i="1" s="1"/>
  <c r="R76" i="1"/>
  <c r="R94" i="1" s="1"/>
  <c r="S76" i="1"/>
  <c r="S88" i="1" s="1"/>
  <c r="O78" i="1"/>
  <c r="P78" i="1"/>
  <c r="Q78" i="1"/>
  <c r="R78" i="1"/>
  <c r="S78" i="1"/>
  <c r="O82" i="1"/>
  <c r="O86" i="1"/>
  <c r="P86" i="1"/>
  <c r="Q86" i="1"/>
  <c r="R86" i="1"/>
  <c r="S86" i="1"/>
  <c r="O88" i="1"/>
  <c r="P88" i="1"/>
  <c r="Q88" i="1"/>
  <c r="O94" i="1"/>
  <c r="Q94" i="1"/>
  <c r="O96" i="1"/>
  <c r="P96" i="1"/>
  <c r="Q96" i="1"/>
  <c r="R96" i="1"/>
  <c r="S96" i="1"/>
  <c r="O98" i="1"/>
  <c r="Q98" i="1"/>
  <c r="O100" i="1"/>
  <c r="P100" i="1"/>
  <c r="Q100" i="1"/>
  <c r="R100" i="1"/>
  <c r="S100" i="1"/>
  <c r="O102" i="1"/>
  <c r="Q102" i="1"/>
  <c r="O104" i="1"/>
  <c r="P104" i="1"/>
  <c r="Q104" i="1"/>
  <c r="R104" i="1"/>
  <c r="S104" i="1"/>
  <c r="O109" i="1"/>
  <c r="Q109" i="1"/>
  <c r="S109" i="1"/>
  <c r="O111" i="1"/>
  <c r="P111" i="1"/>
  <c r="Q111" i="1"/>
  <c r="R111" i="1"/>
  <c r="S111" i="1"/>
  <c r="O113" i="1"/>
  <c r="Q113" i="1"/>
  <c r="S113" i="1"/>
  <c r="O116" i="1"/>
  <c r="P116" i="1"/>
  <c r="Q116" i="1"/>
  <c r="R116" i="1"/>
  <c r="O150" i="1"/>
  <c r="P150" i="1"/>
  <c r="Q150" i="1"/>
  <c r="R150" i="1"/>
  <c r="S150" i="1"/>
  <c r="O154" i="1"/>
  <c r="P154" i="1"/>
  <c r="Q154" i="1"/>
  <c r="R154" i="1"/>
  <c r="S154" i="1"/>
  <c r="O158" i="1"/>
  <c r="P158" i="1"/>
  <c r="Q158" i="1"/>
  <c r="R158" i="1"/>
  <c r="S158" i="1"/>
  <c r="O161" i="1"/>
  <c r="P161" i="1"/>
  <c r="Q161" i="1"/>
  <c r="R161" i="1"/>
  <c r="S161" i="1"/>
  <c r="O164" i="1"/>
  <c r="P164" i="1"/>
  <c r="Q164" i="1"/>
  <c r="R164" i="1"/>
  <c r="S164" i="1"/>
  <c r="O182" i="1"/>
  <c r="P182" i="1"/>
  <c r="Q182" i="1"/>
  <c r="R182" i="1"/>
  <c r="S182" i="1"/>
  <c r="O186" i="1"/>
  <c r="P186" i="1"/>
  <c r="Q186" i="1"/>
  <c r="R186" i="1"/>
  <c r="S186" i="1"/>
  <c r="O188" i="1"/>
  <c r="P188" i="1"/>
  <c r="Q188" i="1"/>
  <c r="R188" i="1"/>
  <c r="S188" i="1"/>
  <c r="O190" i="1"/>
  <c r="P190" i="1"/>
  <c r="P192" i="1" s="1"/>
  <c r="Q190" i="1"/>
  <c r="S190" i="1"/>
  <c r="S192" i="1" s="1"/>
  <c r="O192" i="1"/>
  <c r="Q192" i="1"/>
  <c r="O194" i="1"/>
  <c r="P194" i="1"/>
  <c r="Q194" i="1"/>
  <c r="R194" i="1"/>
  <c r="S194" i="1"/>
  <c r="O197" i="1"/>
  <c r="P197" i="1"/>
  <c r="Q197" i="1"/>
  <c r="R197" i="1"/>
  <c r="S197" i="1"/>
  <c r="O201" i="1"/>
  <c r="P201" i="1"/>
  <c r="Q201" i="1"/>
  <c r="R201" i="1"/>
  <c r="S201" i="1"/>
  <c r="O204" i="1"/>
  <c r="P204" i="1"/>
  <c r="Q204" i="1"/>
  <c r="R204" i="1"/>
  <c r="S204" i="1"/>
  <c r="O208" i="1"/>
  <c r="P208" i="1"/>
  <c r="Q208" i="1"/>
  <c r="R208" i="1"/>
  <c r="S208" i="1"/>
  <c r="O211" i="1"/>
  <c r="P211" i="1"/>
  <c r="Q211" i="1"/>
  <c r="R211" i="1"/>
  <c r="S211" i="1"/>
  <c r="O218" i="1"/>
  <c r="P218" i="1"/>
  <c r="Q218" i="1"/>
  <c r="R218" i="1"/>
  <c r="S218" i="1"/>
  <c r="S67" i="1"/>
  <c r="S63" i="1"/>
  <c r="S40" i="1"/>
  <c r="N40" i="1"/>
  <c r="S32" i="1"/>
  <c r="F218" i="1"/>
  <c r="AF211" i="1"/>
  <c r="AE211" i="1"/>
  <c r="AD211" i="1"/>
  <c r="AC211" i="1"/>
  <c r="AB211" i="1"/>
  <c r="AA211" i="1"/>
  <c r="Z211" i="1"/>
  <c r="Y211" i="1"/>
  <c r="N211" i="1"/>
  <c r="H211" i="1"/>
  <c r="F211" i="1"/>
  <c r="Z208" i="1"/>
  <c r="Z218" i="1" s="1"/>
  <c r="Y208" i="1"/>
  <c r="Y218" i="1" s="1"/>
  <c r="H208" i="1"/>
  <c r="H218" i="1" s="1"/>
  <c r="D208" i="1"/>
  <c r="C208" i="1"/>
  <c r="AF204" i="1"/>
  <c r="AE204" i="1"/>
  <c r="AD204" i="1"/>
  <c r="AC204" i="1"/>
  <c r="AB204" i="1"/>
  <c r="AA204" i="1"/>
  <c r="Z204" i="1"/>
  <c r="Y204" i="1"/>
  <c r="N204" i="1"/>
  <c r="H204" i="1"/>
  <c r="F204" i="1"/>
  <c r="AF201" i="1"/>
  <c r="AE201" i="1"/>
  <c r="AD201" i="1"/>
  <c r="AC201" i="1"/>
  <c r="AB201" i="1"/>
  <c r="AA201" i="1"/>
  <c r="Z201" i="1"/>
  <c r="Y201" i="1"/>
  <c r="N201" i="1"/>
  <c r="H201" i="1"/>
  <c r="F201" i="1"/>
  <c r="E200" i="1"/>
  <c r="C200" i="1"/>
  <c r="AF197" i="1"/>
  <c r="AE197" i="1"/>
  <c r="AD197" i="1"/>
  <c r="AC197" i="1"/>
  <c r="AB197" i="1"/>
  <c r="AA197" i="1"/>
  <c r="Z197" i="1"/>
  <c r="Y197" i="1"/>
  <c r="N197" i="1"/>
  <c r="H197" i="1"/>
  <c r="F197" i="1"/>
  <c r="Y194" i="1"/>
  <c r="H194" i="1"/>
  <c r="F194" i="1"/>
  <c r="E194" i="1"/>
  <c r="D194" i="1"/>
  <c r="C194" i="1"/>
  <c r="Z191" i="1"/>
  <c r="AE191" i="1" s="1"/>
  <c r="N190" i="1"/>
  <c r="N192" i="1" s="1"/>
  <c r="H190" i="1"/>
  <c r="H192" i="1" s="1"/>
  <c r="F190" i="1"/>
  <c r="F192" i="1" s="1"/>
  <c r="E190" i="1"/>
  <c r="D190" i="1"/>
  <c r="C190" i="1"/>
  <c r="M188" i="1"/>
  <c r="L188" i="1"/>
  <c r="K188" i="1"/>
  <c r="J188" i="1"/>
  <c r="I188" i="1"/>
  <c r="G188" i="1"/>
  <c r="F188" i="1"/>
  <c r="AF186" i="1"/>
  <c r="AE186" i="1"/>
  <c r="AD186" i="1"/>
  <c r="AC186" i="1"/>
  <c r="AB186" i="1"/>
  <c r="AA186" i="1"/>
  <c r="Z186" i="1"/>
  <c r="Y186" i="1"/>
  <c r="N186" i="1"/>
  <c r="H186" i="1"/>
  <c r="F186" i="1"/>
  <c r="Y182" i="1"/>
  <c r="Y188" i="1" s="1"/>
  <c r="N182" i="1"/>
  <c r="N188" i="1" s="1"/>
  <c r="H182" i="1"/>
  <c r="H188" i="1" s="1"/>
  <c r="F182" i="1"/>
  <c r="E182" i="1"/>
  <c r="D182" i="1"/>
  <c r="C182" i="1"/>
  <c r="AA178" i="1"/>
  <c r="AB178" i="1" s="1"/>
  <c r="AC178" i="1" s="1"/>
  <c r="AD178" i="1" s="1"/>
  <c r="AE178" i="1" s="1"/>
  <c r="AF178" i="1" s="1"/>
  <c r="AA177" i="1"/>
  <c r="AB177" i="1" s="1"/>
  <c r="AC177" i="1" s="1"/>
  <c r="AD177" i="1" s="1"/>
  <c r="AE177" i="1" s="1"/>
  <c r="AF177" i="1" s="1"/>
  <c r="AA174" i="1"/>
  <c r="AB174" i="1" s="1"/>
  <c r="AC174" i="1" s="1"/>
  <c r="AD174" i="1" s="1"/>
  <c r="AE174" i="1" s="1"/>
  <c r="AF174" i="1" s="1"/>
  <c r="AF164" i="1"/>
  <c r="AE164" i="1"/>
  <c r="AD164" i="1"/>
  <c r="AC164" i="1"/>
  <c r="AB164" i="1"/>
  <c r="AA164" i="1"/>
  <c r="Y164" i="1"/>
  <c r="N164" i="1"/>
  <c r="H164" i="1"/>
  <c r="F164" i="1"/>
  <c r="AF161" i="1"/>
  <c r="AE161" i="1"/>
  <c r="AD161" i="1"/>
  <c r="AC161" i="1"/>
  <c r="AB161" i="1"/>
  <c r="AA161" i="1"/>
  <c r="Z161" i="1"/>
  <c r="Y161" i="1"/>
  <c r="N161" i="1"/>
  <c r="H161" i="1"/>
  <c r="F161" i="1"/>
  <c r="AF158" i="1"/>
  <c r="AE158" i="1"/>
  <c r="AD158" i="1"/>
  <c r="AC158" i="1"/>
  <c r="AB158" i="1"/>
  <c r="AA158" i="1"/>
  <c r="Z158" i="1"/>
  <c r="Y158" i="1"/>
  <c r="N158" i="1"/>
  <c r="H158" i="1"/>
  <c r="F158" i="1"/>
  <c r="Z155" i="1"/>
  <c r="AA155" i="1" s="1"/>
  <c r="AB155" i="1" s="1"/>
  <c r="Y154" i="1"/>
  <c r="N154" i="1"/>
  <c r="H154" i="1"/>
  <c r="F154" i="1"/>
  <c r="AF150" i="1"/>
  <c r="AE150" i="1"/>
  <c r="AD150" i="1"/>
  <c r="AC150" i="1"/>
  <c r="AB150" i="1"/>
  <c r="AA150" i="1"/>
  <c r="Z150" i="1"/>
  <c r="Y150" i="1"/>
  <c r="N150" i="1"/>
  <c r="H150" i="1"/>
  <c r="F150" i="1"/>
  <c r="AF145" i="1"/>
  <c r="AE145" i="1"/>
  <c r="AD145" i="1"/>
  <c r="AC145" i="1"/>
  <c r="AB145" i="1"/>
  <c r="AA145" i="1"/>
  <c r="Z145" i="1"/>
  <c r="Y145" i="1"/>
  <c r="AF144" i="1"/>
  <c r="AE144" i="1"/>
  <c r="AD144" i="1"/>
  <c r="AC144" i="1"/>
  <c r="AB144" i="1"/>
  <c r="AA144" i="1"/>
  <c r="Z144" i="1"/>
  <c r="Y144" i="1"/>
  <c r="E141" i="1"/>
  <c r="E139" i="1"/>
  <c r="E137" i="1"/>
  <c r="M132" i="1"/>
  <c r="L132" i="1"/>
  <c r="K132" i="1"/>
  <c r="J132" i="1"/>
  <c r="I132" i="1"/>
  <c r="G132" i="1"/>
  <c r="M130" i="1"/>
  <c r="L130" i="1"/>
  <c r="K130" i="1"/>
  <c r="J130" i="1"/>
  <c r="I130" i="1"/>
  <c r="G130" i="1"/>
  <c r="H116" i="1"/>
  <c r="F116" i="1"/>
  <c r="AF111" i="1"/>
  <c r="AE111" i="1"/>
  <c r="AD111" i="1"/>
  <c r="AC111" i="1"/>
  <c r="AB111" i="1"/>
  <c r="AA111" i="1"/>
  <c r="Z111" i="1"/>
  <c r="Y111" i="1"/>
  <c r="N111" i="1"/>
  <c r="M111" i="1"/>
  <c r="L111" i="1"/>
  <c r="K111" i="1"/>
  <c r="J111" i="1"/>
  <c r="I111" i="1"/>
  <c r="H111" i="1"/>
  <c r="G111" i="1"/>
  <c r="F111" i="1"/>
  <c r="AF104" i="1"/>
  <c r="AE104" i="1"/>
  <c r="AD104" i="1"/>
  <c r="AC104" i="1"/>
  <c r="AB104" i="1"/>
  <c r="AA104" i="1"/>
  <c r="Z104" i="1"/>
  <c r="Y104" i="1"/>
  <c r="N104" i="1"/>
  <c r="H104" i="1"/>
  <c r="F104" i="1"/>
  <c r="AF100" i="1"/>
  <c r="AE100" i="1"/>
  <c r="AD100" i="1"/>
  <c r="AC100" i="1"/>
  <c r="AB100" i="1"/>
  <c r="AA100" i="1"/>
  <c r="Z100" i="1"/>
  <c r="Y100" i="1"/>
  <c r="N100" i="1"/>
  <c r="H100" i="1"/>
  <c r="F100" i="1"/>
  <c r="AF96" i="1"/>
  <c r="AE96" i="1"/>
  <c r="AD96" i="1"/>
  <c r="AC96" i="1"/>
  <c r="AB96" i="1"/>
  <c r="AA96" i="1"/>
  <c r="Z96" i="1"/>
  <c r="Y96" i="1"/>
  <c r="N96" i="1"/>
  <c r="H96" i="1"/>
  <c r="F96" i="1"/>
  <c r="H92" i="1"/>
  <c r="F92" i="1"/>
  <c r="AF90" i="1"/>
  <c r="AE90" i="1"/>
  <c r="AD90" i="1"/>
  <c r="AC90" i="1"/>
  <c r="AB90" i="1"/>
  <c r="AA90" i="1"/>
  <c r="Z90" i="1"/>
  <c r="AF87" i="1"/>
  <c r="AE87" i="1"/>
  <c r="AD87" i="1"/>
  <c r="AC87" i="1"/>
  <c r="AB87" i="1"/>
  <c r="AA87" i="1"/>
  <c r="Z87" i="1"/>
  <c r="AF86" i="1"/>
  <c r="AE86" i="1"/>
  <c r="AD86" i="1"/>
  <c r="AC86" i="1"/>
  <c r="AB86" i="1"/>
  <c r="AA86" i="1"/>
  <c r="Z86" i="1"/>
  <c r="Y86" i="1"/>
  <c r="N86" i="1"/>
  <c r="H86" i="1"/>
  <c r="F86" i="1"/>
  <c r="AF76" i="1"/>
  <c r="AD76" i="1"/>
  <c r="AB76" i="1"/>
  <c r="Z76" i="1"/>
  <c r="Y81" i="1"/>
  <c r="Y76" i="1" s="1"/>
  <c r="AF78" i="1"/>
  <c r="AE78" i="1"/>
  <c r="AD78" i="1"/>
  <c r="AC78" i="1"/>
  <c r="AB78" i="1"/>
  <c r="AA78" i="1"/>
  <c r="Z78" i="1"/>
  <c r="Y78" i="1"/>
  <c r="N78" i="1"/>
  <c r="H78" i="1"/>
  <c r="F78" i="1"/>
  <c r="N76" i="1"/>
  <c r="N102" i="1" s="1"/>
  <c r="H76" i="1"/>
  <c r="F76" i="1"/>
  <c r="F102" i="1" s="1"/>
  <c r="E75" i="1"/>
  <c r="D75" i="1"/>
  <c r="C75" i="1"/>
  <c r="Y67" i="1"/>
  <c r="AF63" i="1"/>
  <c r="AE63" i="1"/>
  <c r="AD63" i="1"/>
  <c r="AC63" i="1"/>
  <c r="AB63" i="1"/>
  <c r="AA63" i="1"/>
  <c r="Z63" i="1"/>
  <c r="Y63" i="1"/>
  <c r="R63" i="1"/>
  <c r="Q63" i="1"/>
  <c r="P63" i="1"/>
  <c r="O63" i="1"/>
  <c r="N63" i="1"/>
  <c r="M63" i="1"/>
  <c r="L63" i="1"/>
  <c r="K63" i="1"/>
  <c r="J63" i="1"/>
  <c r="I63" i="1"/>
  <c r="G63" i="1"/>
  <c r="F63" i="1"/>
  <c r="H62" i="1"/>
  <c r="F62" i="1"/>
  <c r="F57" i="1" s="1"/>
  <c r="J55" i="1"/>
  <c r="J51" i="1"/>
  <c r="X47" i="1"/>
  <c r="W47" i="1"/>
  <c r="T47" i="1"/>
  <c r="J47" i="1"/>
  <c r="Z46" i="1"/>
  <c r="Z194" i="1" s="1"/>
  <c r="J46" i="1"/>
  <c r="Q45" i="1"/>
  <c r="P45" i="1"/>
  <c r="O45" i="1"/>
  <c r="W45" i="1" s="1"/>
  <c r="J45" i="1"/>
  <c r="Y190" i="1"/>
  <c r="Y192" i="1" s="1"/>
  <c r="W44" i="1"/>
  <c r="X44" i="1"/>
  <c r="R44" i="1"/>
  <c r="R190" i="1" s="1"/>
  <c r="R192" i="1" s="1"/>
  <c r="J44" i="1"/>
  <c r="Z182" i="1"/>
  <c r="Z188" i="1" s="1"/>
  <c r="W43" i="1"/>
  <c r="X43" i="1"/>
  <c r="J43" i="1"/>
  <c r="X42" i="1"/>
  <c r="W42" i="1"/>
  <c r="T42" i="1"/>
  <c r="J42" i="1"/>
  <c r="W41" i="1"/>
  <c r="X41" i="1"/>
  <c r="J41" i="1"/>
  <c r="Y40" i="1"/>
  <c r="W40" i="1"/>
  <c r="R40" i="1"/>
  <c r="Q40" i="1"/>
  <c r="P40" i="1"/>
  <c r="O40" i="1"/>
  <c r="X40" i="1"/>
  <c r="H40" i="1"/>
  <c r="F40" i="1"/>
  <c r="R38" i="1"/>
  <c r="Q38" i="1"/>
  <c r="P38" i="1"/>
  <c r="O38" i="1"/>
  <c r="H38" i="1"/>
  <c r="F38" i="1"/>
  <c r="R32" i="1"/>
  <c r="Q32" i="1"/>
  <c r="Q52" i="1" s="1"/>
  <c r="P32" i="1"/>
  <c r="P52" i="1" s="1"/>
  <c r="O32" i="1"/>
  <c r="O52" i="1" s="1"/>
  <c r="N32" i="1"/>
  <c r="N52" i="1" s="1"/>
  <c r="H32" i="1"/>
  <c r="H52" i="1" s="1"/>
  <c r="F32" i="1"/>
  <c r="F52" i="1" s="1"/>
  <c r="R29" i="1"/>
  <c r="Q29" i="1"/>
  <c r="P29" i="1"/>
  <c r="P56" i="1" s="1"/>
  <c r="O29" i="1"/>
  <c r="H29" i="1"/>
  <c r="F29" i="1"/>
  <c r="F56" i="1" s="1"/>
  <c r="R26" i="1"/>
  <c r="R28" i="1" s="1"/>
  <c r="P26" i="1"/>
  <c r="P15" i="1" s="1"/>
  <c r="P130" i="1" s="1"/>
  <c r="F26" i="1"/>
  <c r="F28" i="1" s="1"/>
  <c r="R15" i="1"/>
  <c r="R130" i="1" s="1"/>
  <c r="F15" i="1"/>
  <c r="F37" i="1" l="1"/>
  <c r="F75" i="1" s="1"/>
  <c r="N200" i="1"/>
  <c r="N48" i="1" s="1"/>
  <c r="Z200" i="1"/>
  <c r="Z48" i="1" s="1"/>
  <c r="AB200" i="1"/>
  <c r="AB48" i="1" s="1"/>
  <c r="AD200" i="1"/>
  <c r="AD48" i="1" s="1"/>
  <c r="AF200" i="1"/>
  <c r="AF48" i="1" s="1"/>
  <c r="S102" i="1"/>
  <c r="S98" i="1"/>
  <c r="S94" i="1"/>
  <c r="AC76" i="1"/>
  <c r="R113" i="1"/>
  <c r="P113" i="1"/>
  <c r="R109" i="1"/>
  <c r="P109" i="1"/>
  <c r="R102" i="1"/>
  <c r="P102" i="1"/>
  <c r="R98" i="1"/>
  <c r="P98" i="1"/>
  <c r="AA76" i="1"/>
  <c r="AA113" i="1" s="1"/>
  <c r="AE76" i="1"/>
  <c r="S82" i="1"/>
  <c r="H200" i="1"/>
  <c r="H48" i="1" s="1"/>
  <c r="Y200" i="1"/>
  <c r="Y48" i="1" s="1"/>
  <c r="AA200" i="1"/>
  <c r="AA48" i="1" s="1"/>
  <c r="AC200" i="1"/>
  <c r="AC48" i="1" s="1"/>
  <c r="AE200" i="1"/>
  <c r="AE48" i="1" s="1"/>
  <c r="F200" i="1"/>
  <c r="F48" i="1" s="1"/>
  <c r="G40" i="1"/>
  <c r="G43" i="1"/>
  <c r="G45" i="1"/>
  <c r="H37" i="1"/>
  <c r="H75" i="1" s="1"/>
  <c r="AB42" i="1"/>
  <c r="AD42" i="1"/>
  <c r="AF42" i="1"/>
  <c r="G38" i="1"/>
  <c r="G41" i="1"/>
  <c r="G42" i="1"/>
  <c r="G46" i="1"/>
  <c r="Z154" i="1"/>
  <c r="AA42" i="1"/>
  <c r="AC42" i="1"/>
  <c r="AB51" i="1"/>
  <c r="AA208" i="1"/>
  <c r="AA218" i="1" s="1"/>
  <c r="AB156" i="1"/>
  <c r="AC156" i="1" s="1"/>
  <c r="AD156" i="1" s="1"/>
  <c r="AE156" i="1" s="1"/>
  <c r="AF156" i="1" s="1"/>
  <c r="AA154" i="1"/>
  <c r="S29" i="1"/>
  <c r="S26" i="1" s="1"/>
  <c r="S28" i="1" s="1"/>
  <c r="S52" i="1"/>
  <c r="N29" i="1"/>
  <c r="R117" i="1"/>
  <c r="P117" i="1"/>
  <c r="R18" i="1"/>
  <c r="R92" i="1" s="1"/>
  <c r="P18" i="1"/>
  <c r="P92" i="1" s="1"/>
  <c r="R132" i="1"/>
  <c r="P132" i="1"/>
  <c r="R77" i="1"/>
  <c r="P77" i="1"/>
  <c r="N94" i="1"/>
  <c r="F98" i="1"/>
  <c r="AC191" i="1"/>
  <c r="F94" i="1"/>
  <c r="N98" i="1"/>
  <c r="AA191" i="1"/>
  <c r="R200" i="1"/>
  <c r="R48" i="1" s="1"/>
  <c r="P200" i="1"/>
  <c r="P48" i="1" s="1"/>
  <c r="S200" i="1"/>
  <c r="S48" i="1" s="1"/>
  <c r="Q200" i="1"/>
  <c r="Q48" i="1" s="1"/>
  <c r="O200" i="1"/>
  <c r="O48" i="1" s="1"/>
  <c r="R88" i="1"/>
  <c r="T40" i="1"/>
  <c r="R82" i="1"/>
  <c r="P82" i="1"/>
  <c r="N208" i="1"/>
  <c r="N218" i="1" s="1"/>
  <c r="F132" i="1"/>
  <c r="F130" i="1"/>
  <c r="F24" i="1"/>
  <c r="F77" i="1"/>
  <c r="O56" i="1"/>
  <c r="O26" i="1"/>
  <c r="K43" i="1"/>
  <c r="L43" i="1" s="1"/>
  <c r="K45" i="1"/>
  <c r="L45" i="1" s="1"/>
  <c r="P24" i="1"/>
  <c r="AE80" i="1"/>
  <c r="AC80" i="1"/>
  <c r="AA80" i="1"/>
  <c r="Y80" i="1"/>
  <c r="R37" i="1"/>
  <c r="R75" i="1" s="1"/>
  <c r="AF80" i="1"/>
  <c r="AB80" i="1"/>
  <c r="AD80" i="1"/>
  <c r="Z80" i="1"/>
  <c r="P28" i="1"/>
  <c r="H56" i="1"/>
  <c r="I55" i="1"/>
  <c r="I51" i="1"/>
  <c r="I46" i="1"/>
  <c r="M46" i="1" s="1"/>
  <c r="I45" i="1"/>
  <c r="M45" i="1" s="1"/>
  <c r="I43" i="1"/>
  <c r="M43" i="1" s="1"/>
  <c r="I42" i="1"/>
  <c r="M42" i="1" s="1"/>
  <c r="I41" i="1"/>
  <c r="M41" i="1" s="1"/>
  <c r="H26" i="1"/>
  <c r="I48" i="1"/>
  <c r="I47" i="1"/>
  <c r="I44" i="1"/>
  <c r="I40" i="1"/>
  <c r="M40" i="1" s="1"/>
  <c r="I38" i="1"/>
  <c r="M38" i="1" s="1"/>
  <c r="Q56" i="1"/>
  <c r="Q26" i="1"/>
  <c r="K40" i="1"/>
  <c r="L40" i="1" s="1"/>
  <c r="R24" i="1"/>
  <c r="I37" i="1"/>
  <c r="K38" i="1"/>
  <c r="L38" i="1" s="1"/>
  <c r="K41" i="1"/>
  <c r="L41" i="1" s="1"/>
  <c r="K42" i="1"/>
  <c r="L42" i="1" s="1"/>
  <c r="K46" i="1"/>
  <c r="L46" i="1" s="1"/>
  <c r="J37" i="1"/>
  <c r="G48" i="1"/>
  <c r="K48" i="1" s="1"/>
  <c r="L48" i="1" s="1"/>
  <c r="Y113" i="1"/>
  <c r="Y109" i="1"/>
  <c r="Y88" i="1"/>
  <c r="Y82" i="1"/>
  <c r="Y102" i="1"/>
  <c r="Y98" i="1"/>
  <c r="Y94" i="1"/>
  <c r="AC113" i="1"/>
  <c r="AC109" i="1"/>
  <c r="AC88" i="1"/>
  <c r="AC82" i="1"/>
  <c r="AC102" i="1"/>
  <c r="AC98" i="1"/>
  <c r="AC94" i="1"/>
  <c r="G55" i="1"/>
  <c r="K55" i="1" s="1"/>
  <c r="L55" i="1" s="1"/>
  <c r="G51" i="1"/>
  <c r="K51" i="1" s="1"/>
  <c r="L51" i="1" s="1"/>
  <c r="F58" i="1"/>
  <c r="Y32" i="1"/>
  <c r="Y52" i="1" s="1"/>
  <c r="G37" i="1"/>
  <c r="J38" i="1"/>
  <c r="J40" i="1"/>
  <c r="T41" i="1"/>
  <c r="T43" i="1"/>
  <c r="AA43" i="1"/>
  <c r="G44" i="1"/>
  <c r="K44" i="1" s="1"/>
  <c r="L44" i="1" s="1"/>
  <c r="T44" i="1"/>
  <c r="Z44" i="1"/>
  <c r="R45" i="1"/>
  <c r="T46" i="1"/>
  <c r="AA46" i="1"/>
  <c r="G47" i="1"/>
  <c r="K47" i="1" s="1"/>
  <c r="L47" i="1" s="1"/>
  <c r="J48" i="1"/>
  <c r="R52" i="1"/>
  <c r="R56" i="1"/>
  <c r="H113" i="1"/>
  <c r="H109" i="1"/>
  <c r="H102" i="1"/>
  <c r="H98" i="1"/>
  <c r="H94" i="1"/>
  <c r="H88" i="1"/>
  <c r="H82" i="1"/>
  <c r="AA109" i="1"/>
  <c r="AA82" i="1"/>
  <c r="AA98" i="1"/>
  <c r="AE113" i="1"/>
  <c r="AE109" i="1"/>
  <c r="AE102" i="1"/>
  <c r="AE88" i="1"/>
  <c r="AE82" i="1"/>
  <c r="AE98" i="1"/>
  <c r="AE94" i="1"/>
  <c r="Z113" i="1"/>
  <c r="Z109" i="1"/>
  <c r="Z102" i="1"/>
  <c r="Z98" i="1"/>
  <c r="Z94" i="1"/>
  <c r="Z88" i="1"/>
  <c r="Z82" i="1"/>
  <c r="AB113" i="1"/>
  <c r="AB109" i="1"/>
  <c r="AB102" i="1"/>
  <c r="AB98" i="1"/>
  <c r="AB94" i="1"/>
  <c r="AB88" i="1"/>
  <c r="AB82" i="1"/>
  <c r="AD102" i="1"/>
  <c r="AD113" i="1"/>
  <c r="AD109" i="1"/>
  <c r="AD98" i="1"/>
  <c r="AD94" i="1"/>
  <c r="AD88" i="1"/>
  <c r="AD82" i="1"/>
  <c r="AF102" i="1"/>
  <c r="AF113" i="1"/>
  <c r="AF109" i="1"/>
  <c r="AF98" i="1"/>
  <c r="AF94" i="1"/>
  <c r="AF88" i="1"/>
  <c r="AF82" i="1"/>
  <c r="F117" i="1"/>
  <c r="F113" i="1"/>
  <c r="F109" i="1"/>
  <c r="N113" i="1"/>
  <c r="N109" i="1"/>
  <c r="T76" i="1"/>
  <c r="F82" i="1"/>
  <c r="N82" i="1"/>
  <c r="F88" i="1"/>
  <c r="N88" i="1"/>
  <c r="AC155" i="1"/>
  <c r="AB191" i="1"/>
  <c r="AD191" i="1"/>
  <c r="AF191" i="1"/>
  <c r="AA94" i="1" l="1"/>
  <c r="AA102" i="1"/>
  <c r="AA88" i="1"/>
  <c r="M44" i="1"/>
  <c r="AB208" i="1"/>
  <c r="AB218" i="1" s="1"/>
  <c r="AC51" i="1"/>
  <c r="AB154" i="1"/>
  <c r="S15" i="1"/>
  <c r="S56" i="1"/>
  <c r="N56" i="1"/>
  <c r="N26" i="1"/>
  <c r="M48" i="1"/>
  <c r="X45" i="1"/>
  <c r="T45" i="1"/>
  <c r="AC154" i="1"/>
  <c r="AD155" i="1"/>
  <c r="AA194" i="1"/>
  <c r="AB46" i="1"/>
  <c r="AA182" i="1"/>
  <c r="AA188" i="1" s="1"/>
  <c r="AB43" i="1"/>
  <c r="K37" i="1"/>
  <c r="Y29" i="1"/>
  <c r="M37" i="1"/>
  <c r="AA32" i="1"/>
  <c r="AA52" i="1" s="1"/>
  <c r="Q15" i="1"/>
  <c r="Q28" i="1"/>
  <c r="H15" i="1"/>
  <c r="H28" i="1"/>
  <c r="M51" i="1"/>
  <c r="P39" i="1"/>
  <c r="Z190" i="1"/>
  <c r="Z192" i="1" s="1"/>
  <c r="Z45" i="1"/>
  <c r="AA44" i="1"/>
  <c r="Z32" i="1"/>
  <c r="Z52" i="1" s="1"/>
  <c r="R39" i="1"/>
  <c r="R49" i="1" s="1"/>
  <c r="M47" i="1"/>
  <c r="M55" i="1"/>
  <c r="P37" i="1"/>
  <c r="P75" i="1" s="1"/>
  <c r="O15" i="1"/>
  <c r="O28" i="1"/>
  <c r="F39" i="1"/>
  <c r="S77" i="1" l="1"/>
  <c r="S118" i="1"/>
  <c r="S24" i="1"/>
  <c r="S130" i="1"/>
  <c r="AD51" i="1"/>
  <c r="AC208" i="1"/>
  <c r="AC218" i="1" s="1"/>
  <c r="S132" i="1"/>
  <c r="S92" i="1"/>
  <c r="S37" i="1" s="1"/>
  <c r="S75" i="1" s="1"/>
  <c r="N28" i="1"/>
  <c r="N15" i="1"/>
  <c r="N118" i="1" s="1"/>
  <c r="O18" i="1"/>
  <c r="O92" i="1" s="1"/>
  <c r="O37" i="1" s="1"/>
  <c r="O75" i="1" s="1"/>
  <c r="O77" i="1"/>
  <c r="O117" i="1"/>
  <c r="O130" i="1"/>
  <c r="O132" i="1"/>
  <c r="Q18" i="1"/>
  <c r="Q92" i="1" s="1"/>
  <c r="Q37" i="1" s="1"/>
  <c r="Q75" i="1" s="1"/>
  <c r="Q117" i="1"/>
  <c r="Q77" i="1"/>
  <c r="Q130" i="1"/>
  <c r="Q132" i="1"/>
  <c r="R50" i="1"/>
  <c r="P49" i="1"/>
  <c r="AC32" i="1"/>
  <c r="AA29" i="1"/>
  <c r="Y56" i="1"/>
  <c r="Y26" i="1"/>
  <c r="AE155" i="1"/>
  <c r="AD154" i="1"/>
  <c r="G39" i="1"/>
  <c r="F49" i="1"/>
  <c r="O24" i="1"/>
  <c r="AB32" i="1"/>
  <c r="Z29" i="1"/>
  <c r="AA27" i="1" s="1"/>
  <c r="AA190" i="1"/>
  <c r="AA192" i="1" s="1"/>
  <c r="AB44" i="1"/>
  <c r="AA45" i="1"/>
  <c r="H132" i="1"/>
  <c r="H130" i="1"/>
  <c r="H77" i="1"/>
  <c r="H24" i="1"/>
  <c r="H117" i="1"/>
  <c r="Q24" i="1"/>
  <c r="AD32" i="1"/>
  <c r="L37" i="1"/>
  <c r="AB182" i="1"/>
  <c r="AB188" i="1" s="1"/>
  <c r="AC43" i="1"/>
  <c r="AB194" i="1"/>
  <c r="AC46" i="1"/>
  <c r="N38" i="1" l="1"/>
  <c r="N116" i="1"/>
  <c r="S39" i="1"/>
  <c r="S116" i="1"/>
  <c r="S117" i="1" s="1"/>
  <c r="S38" i="1"/>
  <c r="T38" i="1" s="1"/>
  <c r="AE27" i="1"/>
  <c r="AC27" i="1"/>
  <c r="AF27" i="1"/>
  <c r="AD27" i="1"/>
  <c r="AB27" i="1"/>
  <c r="AD52" i="1"/>
  <c r="AD29" i="1"/>
  <c r="AC52" i="1"/>
  <c r="AC29" i="1"/>
  <c r="H39" i="1"/>
  <c r="I39" i="1" s="1"/>
  <c r="AB52" i="1"/>
  <c r="AB29" i="1"/>
  <c r="AD208" i="1"/>
  <c r="AD218" i="1" s="1"/>
  <c r="AE51" i="1"/>
  <c r="AE32" i="1"/>
  <c r="AE29" i="1" s="1"/>
  <c r="N132" i="1"/>
  <c r="N77" i="1"/>
  <c r="N130" i="1"/>
  <c r="N24" i="1"/>
  <c r="N117" i="1"/>
  <c r="W46" i="1"/>
  <c r="N194" i="1"/>
  <c r="X46" i="1"/>
  <c r="T37" i="1"/>
  <c r="AB190" i="1"/>
  <c r="AB192" i="1" s="1"/>
  <c r="AB45" i="1"/>
  <c r="AC44" i="1"/>
  <c r="Z26" i="1"/>
  <c r="K39" i="1"/>
  <c r="K49" i="1" s="1"/>
  <c r="K53" i="1" s="1"/>
  <c r="G49" i="1"/>
  <c r="G53" i="1" s="1"/>
  <c r="AE154" i="1"/>
  <c r="AF155" i="1"/>
  <c r="AF154" i="1" s="1"/>
  <c r="P50" i="1"/>
  <c r="AC194" i="1"/>
  <c r="AD46" i="1"/>
  <c r="AC182" i="1"/>
  <c r="AC188" i="1" s="1"/>
  <c r="AD43" i="1"/>
  <c r="Q39" i="1"/>
  <c r="O39" i="1"/>
  <c r="F68" i="1"/>
  <c r="F50" i="1"/>
  <c r="Y28" i="1"/>
  <c r="Y15" i="1"/>
  <c r="AA26" i="1"/>
  <c r="R53" i="1"/>
  <c r="R54" i="1" s="1"/>
  <c r="J39" i="1" l="1"/>
  <c r="J49" i="1" s="1"/>
  <c r="H49" i="1"/>
  <c r="H50" i="1" s="1"/>
  <c r="H53" i="1" s="1"/>
  <c r="H54" i="1" s="1"/>
  <c r="S49" i="1"/>
  <c r="S50" i="1" s="1"/>
  <c r="Y92" i="1"/>
  <c r="Y37" i="1" s="1"/>
  <c r="Y75" i="1" s="1"/>
  <c r="Y118" i="1"/>
  <c r="X38" i="1"/>
  <c r="W38" i="1"/>
  <c r="AE26" i="1"/>
  <c r="AE28" i="1" s="1"/>
  <c r="AE52" i="1"/>
  <c r="AF51" i="1"/>
  <c r="AF208" i="1" s="1"/>
  <c r="AF218" i="1" s="1"/>
  <c r="AE208" i="1"/>
  <c r="AE218" i="1" s="1"/>
  <c r="N92" i="1"/>
  <c r="N37" i="1" s="1"/>
  <c r="AF32" i="1"/>
  <c r="AF29" i="1" s="1"/>
  <c r="N39" i="1"/>
  <c r="W39" i="1" s="1"/>
  <c r="Y132" i="1"/>
  <c r="Y130" i="1"/>
  <c r="Y24" i="1"/>
  <c r="Y77" i="1"/>
  <c r="O49" i="1"/>
  <c r="AD26" i="1"/>
  <c r="AD28" i="1" s="1"/>
  <c r="AD182" i="1"/>
  <c r="AD188" i="1" s="1"/>
  <c r="AE43" i="1"/>
  <c r="AA28" i="1"/>
  <c r="AA15" i="1"/>
  <c r="AB26" i="1"/>
  <c r="AB28" i="1" s="1"/>
  <c r="Q49" i="1"/>
  <c r="AC26" i="1"/>
  <c r="AC28" i="1" s="1"/>
  <c r="L39" i="1"/>
  <c r="L49" i="1" s="1"/>
  <c r="L53" i="1" s="1"/>
  <c r="F65" i="1"/>
  <c r="F66" i="1" s="1"/>
  <c r="F53" i="1"/>
  <c r="F54" i="1" s="1"/>
  <c r="AD194" i="1"/>
  <c r="AE46" i="1"/>
  <c r="P53" i="1"/>
  <c r="Z15" i="1"/>
  <c r="Z28" i="1"/>
  <c r="AC190" i="1"/>
  <c r="AC192" i="1" s="1"/>
  <c r="AD44" i="1"/>
  <c r="AC45" i="1"/>
  <c r="M39" i="1"/>
  <c r="M49" i="1" s="1"/>
  <c r="M53" i="1" s="1"/>
  <c r="I49" i="1"/>
  <c r="I53" i="1" s="1"/>
  <c r="AA137" i="1" l="1"/>
  <c r="AA136" i="1" s="1"/>
  <c r="AA131" i="1"/>
  <c r="AA133" i="1"/>
  <c r="AA132" i="1" s="1"/>
  <c r="AA119" i="1"/>
  <c r="AA118" i="1" s="1"/>
  <c r="AA139" i="1"/>
  <c r="Z137" i="1"/>
  <c r="Z131" i="1"/>
  <c r="Z133" i="1"/>
  <c r="Z119" i="1"/>
  <c r="Z118" i="1" s="1"/>
  <c r="Z139" i="1"/>
  <c r="Y116" i="1"/>
  <c r="Y117" i="1" s="1"/>
  <c r="Y38" i="1"/>
  <c r="Z136" i="1"/>
  <c r="AF26" i="1"/>
  <c r="AF28" i="1" s="1"/>
  <c r="AF52" i="1"/>
  <c r="AA122" i="1"/>
  <c r="S53" i="1"/>
  <c r="S54" i="1" s="1"/>
  <c r="W37" i="1"/>
  <c r="N75" i="1"/>
  <c r="N49" i="1"/>
  <c r="X37" i="1"/>
  <c r="Z132" i="1"/>
  <c r="Z130" i="1"/>
  <c r="Z77" i="1"/>
  <c r="Z92" i="1"/>
  <c r="Z37" i="1" s="1"/>
  <c r="Z24" i="1"/>
  <c r="AD190" i="1"/>
  <c r="AD192" i="1" s="1"/>
  <c r="AD45" i="1"/>
  <c r="AE44" i="1"/>
  <c r="AE15" i="1"/>
  <c r="P54" i="1"/>
  <c r="AE194" i="1"/>
  <c r="AF46" i="1"/>
  <c r="AF194" i="1" s="1"/>
  <c r="AC15" i="1"/>
  <c r="Q50" i="1"/>
  <c r="AA130" i="1"/>
  <c r="AA77" i="1"/>
  <c r="AA24" i="1"/>
  <c r="AA92" i="1"/>
  <c r="AA37" i="1" s="1"/>
  <c r="AE182" i="1"/>
  <c r="AE188" i="1" s="1"/>
  <c r="AF43" i="1"/>
  <c r="AF182" i="1" s="1"/>
  <c r="AF188" i="1" s="1"/>
  <c r="AD15" i="1"/>
  <c r="U47" i="1"/>
  <c r="U39" i="1"/>
  <c r="U37" i="1"/>
  <c r="U46" i="1"/>
  <c r="U45" i="1"/>
  <c r="U44" i="1"/>
  <c r="U43" i="1"/>
  <c r="U42" i="1"/>
  <c r="U41" i="1"/>
  <c r="U40" i="1"/>
  <c r="U38" i="1"/>
  <c r="O50" i="1"/>
  <c r="Y39" i="1"/>
  <c r="Y49" i="1" s="1"/>
  <c r="H66" i="1"/>
  <c r="T39" i="1"/>
  <c r="X39" i="1"/>
  <c r="AB15" i="1"/>
  <c r="AC137" i="1" l="1"/>
  <c r="AC131" i="1"/>
  <c r="AC133" i="1"/>
  <c r="AC132" i="1" s="1"/>
  <c r="AC119" i="1"/>
  <c r="AC118" i="1" s="1"/>
  <c r="AC139" i="1"/>
  <c r="AE137" i="1"/>
  <c r="AE131" i="1"/>
  <c r="AE133" i="1"/>
  <c r="AE119" i="1"/>
  <c r="AE118" i="1" s="1"/>
  <c r="AE139" i="1"/>
  <c r="AD133" i="1"/>
  <c r="AD132" i="1" s="1"/>
  <c r="AD119" i="1"/>
  <c r="AD118" i="1" s="1"/>
  <c r="AD137" i="1"/>
  <c r="AD131" i="1"/>
  <c r="AD139" i="1"/>
  <c r="AB133" i="1"/>
  <c r="AB119" i="1"/>
  <c r="AB118" i="1" s="1"/>
  <c r="AB137" i="1"/>
  <c r="AB131" i="1"/>
  <c r="AB130" i="1" s="1"/>
  <c r="AB139" i="1"/>
  <c r="AB122" i="1"/>
  <c r="AC122" i="1"/>
  <c r="AE122" i="1"/>
  <c r="AD122" i="1"/>
  <c r="N50" i="1"/>
  <c r="N53" i="1" s="1"/>
  <c r="N54" i="1" s="1"/>
  <c r="W49" i="1"/>
  <c r="Z39" i="1"/>
  <c r="AB132" i="1"/>
  <c r="AB136" i="1"/>
  <c r="AB77" i="1"/>
  <c r="AB92" i="1"/>
  <c r="AB37" i="1" s="1"/>
  <c r="AB24" i="1"/>
  <c r="H57" i="1"/>
  <c r="H58" i="1" s="1"/>
  <c r="H65" i="1"/>
  <c r="Y50" i="1"/>
  <c r="AA75" i="1"/>
  <c r="AA39" i="1"/>
  <c r="V46" i="1"/>
  <c r="V45" i="1"/>
  <c r="V44" i="1"/>
  <c r="V43" i="1"/>
  <c r="V42" i="1"/>
  <c r="V41" i="1"/>
  <c r="V40" i="1"/>
  <c r="V38" i="1"/>
  <c r="T49" i="1"/>
  <c r="V47" i="1"/>
  <c r="V39" i="1"/>
  <c r="V37" i="1"/>
  <c r="X49" i="1"/>
  <c r="AE136" i="1"/>
  <c r="AE130" i="1"/>
  <c r="AE132" i="1"/>
  <c r="AE77" i="1"/>
  <c r="AE24" i="1"/>
  <c r="AE92" i="1"/>
  <c r="AE37" i="1" s="1"/>
  <c r="AE190" i="1"/>
  <c r="AE192" i="1" s="1"/>
  <c r="AF44" i="1"/>
  <c r="AE45" i="1"/>
  <c r="AA116" i="1"/>
  <c r="AA117" i="1" s="1"/>
  <c r="AA38" i="1"/>
  <c r="AA40" i="1"/>
  <c r="Q53" i="1"/>
  <c r="AC136" i="1"/>
  <c r="AC130" i="1"/>
  <c r="AC24" i="1"/>
  <c r="AC77" i="1"/>
  <c r="AC92" i="1"/>
  <c r="AC37" i="1" s="1"/>
  <c r="AF15" i="1"/>
  <c r="Z40" i="1"/>
  <c r="O53" i="1"/>
  <c r="O54" i="1" s="1"/>
  <c r="AD136" i="1"/>
  <c r="AD130" i="1"/>
  <c r="AD77" i="1"/>
  <c r="AD92" i="1"/>
  <c r="AD37" i="1" s="1"/>
  <c r="AD24" i="1"/>
  <c r="Z75" i="1"/>
  <c r="Z116" i="1"/>
  <c r="Z117" i="1" s="1"/>
  <c r="Z38" i="1"/>
  <c r="AF133" i="1" l="1"/>
  <c r="AF119" i="1"/>
  <c r="AF118" i="1" s="1"/>
  <c r="AF137" i="1"/>
  <c r="AF136" i="1" s="1"/>
  <c r="AF131" i="1"/>
  <c r="AF139" i="1"/>
  <c r="AF122" i="1"/>
  <c r="AF132" i="1"/>
  <c r="AB40" i="1"/>
  <c r="AD40" i="1"/>
  <c r="AC40" i="1"/>
  <c r="AB39" i="1"/>
  <c r="Z49" i="1"/>
  <c r="Z50" i="1" s="1"/>
  <c r="AA49" i="1"/>
  <c r="AA50" i="1" s="1"/>
  <c r="AE39" i="1"/>
  <c r="AC116" i="1"/>
  <c r="AC117" i="1" s="1"/>
  <c r="AC38" i="1"/>
  <c r="AE75" i="1"/>
  <c r="AD75" i="1"/>
  <c r="AD39" i="1"/>
  <c r="AD116" i="1"/>
  <c r="AD117" i="1" s="1"/>
  <c r="AD38" i="1"/>
  <c r="AF130" i="1"/>
  <c r="AF77" i="1"/>
  <c r="AF92" i="1"/>
  <c r="AF37" i="1" s="1"/>
  <c r="AF24" i="1"/>
  <c r="AC75" i="1"/>
  <c r="AC39" i="1"/>
  <c r="Q54" i="1"/>
  <c r="AE116" i="1"/>
  <c r="AE117" i="1" s="1"/>
  <c r="AE38" i="1"/>
  <c r="AE40" i="1"/>
  <c r="Y53" i="1"/>
  <c r="Y54" i="1" s="1"/>
  <c r="AB116" i="1"/>
  <c r="AB117" i="1" s="1"/>
  <c r="AB38" i="1"/>
  <c r="AF190" i="1"/>
  <c r="AF192" i="1" s="1"/>
  <c r="AF45" i="1"/>
  <c r="AB75" i="1"/>
  <c r="AB49" i="1" l="1"/>
  <c r="AB50" i="1" s="1"/>
  <c r="AC49" i="1"/>
  <c r="AC50" i="1" s="1"/>
  <c r="AF40" i="1"/>
  <c r="AD49" i="1"/>
  <c r="AD50" i="1" s="1"/>
  <c r="AE49" i="1"/>
  <c r="AE50" i="1" s="1"/>
  <c r="AF75" i="1"/>
  <c r="AF39" i="1"/>
  <c r="AA53" i="1"/>
  <c r="AA54" i="1" s="1"/>
  <c r="Z53" i="1"/>
  <c r="Z54" i="1" s="1"/>
  <c r="AF116" i="1"/>
  <c r="AF117" i="1" s="1"/>
  <c r="AF38" i="1"/>
  <c r="AF49" i="1" l="1"/>
  <c r="AF50" i="1" s="1"/>
  <c r="AC53" i="1"/>
  <c r="AC54" i="1" s="1"/>
  <c r="AB53" i="1"/>
  <c r="AB54" i="1" s="1"/>
  <c r="AE53" i="1"/>
  <c r="AE54" i="1" s="1"/>
  <c r="AD53" i="1"/>
  <c r="AD54" i="1" s="1"/>
  <c r="AF53" i="1" l="1"/>
  <c r="AF54" i="1" s="1"/>
  <c r="N62" i="1"/>
  <c r="N57" i="1" s="1"/>
  <c r="N65" i="1" l="1"/>
  <c r="N66" i="1" s="1"/>
  <c r="N68" i="1"/>
  <c r="N58" i="1"/>
  <c r="N67" i="1" l="1"/>
  <c r="S62" i="1"/>
  <c r="S57" i="1" s="1"/>
  <c r="S58" i="1" l="1"/>
  <c r="S65" i="1"/>
  <c r="S66" i="1" s="1"/>
  <c r="S68" i="1"/>
  <c r="O57" i="1"/>
  <c r="P57" i="1"/>
  <c r="Q57" i="1"/>
  <c r="R57" i="1"/>
  <c r="Y57" i="1"/>
  <c r="Z57" i="1"/>
  <c r="AA57" i="1"/>
  <c r="AB57" i="1"/>
  <c r="AC57" i="1"/>
  <c r="AD57" i="1"/>
  <c r="AE57" i="1"/>
  <c r="AF57" i="1"/>
  <c r="O58" i="1"/>
  <c r="P58" i="1"/>
  <c r="Q58" i="1"/>
  <c r="R58" i="1"/>
  <c r="Y58" i="1"/>
  <c r="Z58" i="1"/>
  <c r="AA58" i="1"/>
  <c r="AB58" i="1"/>
  <c r="AC58" i="1"/>
  <c r="AD58" i="1"/>
  <c r="AE58" i="1"/>
  <c r="AF58" i="1"/>
  <c r="O62" i="1"/>
  <c r="P62" i="1"/>
  <c r="Q62" i="1"/>
  <c r="R62" i="1"/>
  <c r="Y62" i="1"/>
  <c r="Z62" i="1"/>
  <c r="AA62" i="1"/>
  <c r="AB62" i="1"/>
  <c r="AC62" i="1"/>
  <c r="AD62" i="1"/>
  <c r="AE62" i="1"/>
  <c r="AF62" i="1"/>
  <c r="O64" i="1"/>
  <c r="P64" i="1"/>
  <c r="Q64" i="1"/>
  <c r="R64" i="1"/>
  <c r="Y64" i="1"/>
  <c r="Z64" i="1"/>
  <c r="AA64" i="1"/>
  <c r="AB64" i="1"/>
  <c r="AC64" i="1"/>
  <c r="AD64" i="1"/>
  <c r="AE64" i="1"/>
  <c r="AF64" i="1"/>
  <c r="O65" i="1"/>
  <c r="P65" i="1"/>
  <c r="Q65" i="1"/>
  <c r="R65" i="1"/>
  <c r="Y65" i="1"/>
  <c r="Z65" i="1"/>
  <c r="AA65" i="1"/>
  <c r="AB65" i="1"/>
  <c r="AC65" i="1"/>
  <c r="AD65" i="1"/>
  <c r="AE65" i="1"/>
  <c r="AF65" i="1"/>
  <c r="O66" i="1"/>
  <c r="P66" i="1"/>
  <c r="Q66" i="1"/>
  <c r="R66" i="1"/>
  <c r="Y66" i="1"/>
  <c r="Z66" i="1"/>
  <c r="AA66" i="1"/>
  <c r="AB66" i="1"/>
  <c r="AC66" i="1"/>
  <c r="AD66" i="1"/>
  <c r="AE66" i="1"/>
  <c r="AF66" i="1"/>
  <c r="O67" i="1"/>
  <c r="P67" i="1"/>
  <c r="Q67" i="1"/>
  <c r="R67" i="1"/>
  <c r="Z67" i="1"/>
  <c r="AA67" i="1"/>
  <c r="AB67" i="1"/>
  <c r="AC67" i="1"/>
  <c r="AD67" i="1"/>
  <c r="AE67" i="1"/>
  <c r="AF67" i="1"/>
  <c r="O68" i="1"/>
  <c r="P68" i="1"/>
  <c r="Q68" i="1"/>
  <c r="R68" i="1"/>
  <c r="Y68" i="1"/>
  <c r="Z68" i="1"/>
  <c r="AA68" i="1"/>
  <c r="AB68" i="1"/>
  <c r="AC68" i="1"/>
  <c r="AD68" i="1"/>
  <c r="AE68" i="1"/>
  <c r="AF68" i="1"/>
  <c r="G116" i="1"/>
  <c r="I116" i="1"/>
  <c r="J116" i="1"/>
  <c r="K116" i="1"/>
  <c r="L116" i="1"/>
  <c r="M116" i="1"/>
  <c r="G117" i="1"/>
  <c r="I117" i="1"/>
  <c r="J117" i="1"/>
  <c r="K117" i="1"/>
  <c r="L117" i="1"/>
  <c r="M117" i="1"/>
  <c r="G118" i="1"/>
  <c r="G120" i="1"/>
  <c r="G122" i="1"/>
  <c r="I122" i="1"/>
  <c r="J122" i="1"/>
  <c r="K122" i="1"/>
  <c r="L122" i="1"/>
  <c r="M122" i="1"/>
  <c r="G124" i="1"/>
  <c r="I124" i="1"/>
  <c r="J124" i="1"/>
  <c r="K124" i="1"/>
  <c r="L124" i="1"/>
  <c r="M124" i="1"/>
  <c r="G126" i="1"/>
  <c r="I126" i="1"/>
  <c r="J126" i="1"/>
  <c r="K126" i="1"/>
  <c r="L126" i="1"/>
  <c r="M126" i="1"/>
</calcChain>
</file>

<file path=xl/comments1.xml><?xml version="1.0" encoding="utf-8"?>
<comments xmlns="http://schemas.openxmlformats.org/spreadsheetml/2006/main">
  <authors>
    <author>Dmalkov</author>
  </authors>
  <commentList>
    <comment ref="F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H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N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O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P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Q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R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S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Y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</commentList>
</comments>
</file>

<file path=xl/sharedStrings.xml><?xml version="1.0" encoding="utf-8"?>
<sst xmlns="http://schemas.openxmlformats.org/spreadsheetml/2006/main" count="491" uniqueCount="288">
  <si>
    <t>$$1</t>
  </si>
  <si>
    <t>Единицы измерения</t>
  </si>
  <si>
    <t>Утверждено с 01.01.2011</t>
  </si>
  <si>
    <t>Утверждено 2012</t>
  </si>
  <si>
    <t>Утверждено 2013</t>
  </si>
  <si>
    <t>Утверждено</t>
  </si>
  <si>
    <t>На 1 Гкал</t>
  </si>
  <si>
    <t>Факт</t>
  </si>
  <si>
    <t>Отклонение (факт - план)</t>
  </si>
  <si>
    <t>План*факт</t>
  </si>
  <si>
    <t>Отклонение</t>
  </si>
  <si>
    <t>Заявка</t>
  </si>
  <si>
    <t xml:space="preserve"> с 01.01.2012</t>
  </si>
  <si>
    <t xml:space="preserve"> с 01.07.212</t>
  </si>
  <si>
    <t xml:space="preserve"> с 01.09.2012</t>
  </si>
  <si>
    <t>Среднегодовые значения</t>
  </si>
  <si>
    <t>2014 год</t>
  </si>
  <si>
    <t>2015 год</t>
  </si>
  <si>
    <t>2016 год</t>
  </si>
  <si>
    <t>2017 год</t>
  </si>
  <si>
    <t>2018 год</t>
  </si>
  <si>
    <t>2023 год</t>
  </si>
  <si>
    <t>2028 год</t>
  </si>
  <si>
    <t>Всего</t>
  </si>
  <si>
    <t>да</t>
  </si>
  <si>
    <t>Является плательщиком НДС</t>
  </si>
  <si>
    <t>нет</t>
  </si>
  <si>
    <t>Баланс теплоснабжения</t>
  </si>
  <si>
    <t>Выработка тепловой энергии</t>
  </si>
  <si>
    <t>Гкал</t>
  </si>
  <si>
    <t>в т.ч. на топливе - газ</t>
  </si>
  <si>
    <t>уголь</t>
  </si>
  <si>
    <t>дрова</t>
  </si>
  <si>
    <t>отходы</t>
  </si>
  <si>
    <t>мазут</t>
  </si>
  <si>
    <t>эл./энергия</t>
  </si>
  <si>
    <t>прочее</t>
  </si>
  <si>
    <t>2</t>
  </si>
  <si>
    <t>Расходы на собственные нужды котельной</t>
  </si>
  <si>
    <t>Бабаевский муниципальный район</t>
  </si>
  <si>
    <t>тоже в процентах от выработанной т/э</t>
  </si>
  <si>
    <t>%</t>
  </si>
  <si>
    <t>Бабушкинский муниципальный район</t>
  </si>
  <si>
    <t>3</t>
  </si>
  <si>
    <t>Покупная тепловая энергия</t>
  </si>
  <si>
    <t>Белозерский муниципальный район</t>
  </si>
  <si>
    <t>4</t>
  </si>
  <si>
    <t>Отпуск тепловой энергии в сеть</t>
  </si>
  <si>
    <t>Вашкинский муниципальный район</t>
  </si>
  <si>
    <t>5</t>
  </si>
  <si>
    <t>Потери тепловой энергии</t>
  </si>
  <si>
    <t>Великоустюгский муниципальный район</t>
  </si>
  <si>
    <t>тоже в процентах от отпущенной т/э</t>
  </si>
  <si>
    <t>Верховажский муниципальный район</t>
  </si>
  <si>
    <t>6</t>
  </si>
  <si>
    <t>Полезный отпуск тепловой энергии, всего</t>
  </si>
  <si>
    <t>Вожегодский муниципальный район</t>
  </si>
  <si>
    <t>в т.ч. на нужды предприятия</t>
  </si>
  <si>
    <t>Отклонение расчета от заявки</t>
  </si>
  <si>
    <t>Структура</t>
  </si>
  <si>
    <t>Рост к ранее утвержденному</t>
  </si>
  <si>
    <t xml:space="preserve">        организациям-перепродавцам</t>
  </si>
  <si>
    <t>Вологодский муниципальный район</t>
  </si>
  <si>
    <t xml:space="preserve">        по группам потребителей, всего</t>
  </si>
  <si>
    <t>заявка</t>
  </si>
  <si>
    <t>расчет</t>
  </si>
  <si>
    <t>Вытегорский муниципальный район</t>
  </si>
  <si>
    <t xml:space="preserve"> в т.ч. бюджетные потребители</t>
  </si>
  <si>
    <t>Грязовецкий муниципальный район</t>
  </si>
  <si>
    <t>население</t>
  </si>
  <si>
    <t>Кирилловский муниципальный район</t>
  </si>
  <si>
    <t>прочие потребители</t>
  </si>
  <si>
    <t>Кичменгско-Городецкий муниципальный район</t>
  </si>
  <si>
    <t>Расходы</t>
  </si>
  <si>
    <t>Междуреченский муниципальный район</t>
  </si>
  <si>
    <t>Топливо на технологические цели</t>
  </si>
  <si>
    <t>тыс.руб.</t>
  </si>
  <si>
    <t>Никольский муниципальный район</t>
  </si>
  <si>
    <t>Электрическая энергия на технологические цели</t>
  </si>
  <si>
    <t>Нюксенский муниципальный район</t>
  </si>
  <si>
    <t>Вода на технологические цели</t>
  </si>
  <si>
    <t>Сокольский муниципальный район</t>
  </si>
  <si>
    <t>Материалы для водоподготовки</t>
  </si>
  <si>
    <t>Сямженский муниципальный район</t>
  </si>
  <si>
    <t>Амортизационные отчисления</t>
  </si>
  <si>
    <t>Тарногский муниципальный район</t>
  </si>
  <si>
    <t>Арендная плата</t>
  </si>
  <si>
    <t>Тотемский муниципальный район</t>
  </si>
  <si>
    <t>7</t>
  </si>
  <si>
    <t>Расходы на содержание и эксплуатацию оборудования</t>
  </si>
  <si>
    <t>Усть-Кубинский муниципальный район</t>
  </si>
  <si>
    <t>8</t>
  </si>
  <si>
    <t>Оплата труда производственных рабочих</t>
  </si>
  <si>
    <t>Устюженский муниципальный район</t>
  </si>
  <si>
    <t>9</t>
  </si>
  <si>
    <t>Страховые взносы с расходов на оплату труда</t>
  </si>
  <si>
    <t>Харовский муниципальный район</t>
  </si>
  <si>
    <t>10</t>
  </si>
  <si>
    <t>Цеховые расходы</t>
  </si>
  <si>
    <t>Чагодощенский муниципальный район</t>
  </si>
  <si>
    <t>11</t>
  </si>
  <si>
    <t>Прочие расходы</t>
  </si>
  <si>
    <t>Череповецкий муниципальный район</t>
  </si>
  <si>
    <t>12</t>
  </si>
  <si>
    <t>Шекснинский муниципальный район</t>
  </si>
  <si>
    <t>Производственные расходы (на полезный отпуск)</t>
  </si>
  <si>
    <t>-</t>
  </si>
  <si>
    <t>город Череповец</t>
  </si>
  <si>
    <t>руб./Гкал</t>
  </si>
  <si>
    <t>город Вологда</t>
  </si>
  <si>
    <t>13</t>
  </si>
  <si>
    <t>Общехозяйственные расходы (на реализацию)</t>
  </si>
  <si>
    <t>Себестоимость реализованной тепловой энергии</t>
  </si>
  <si>
    <t>14</t>
  </si>
  <si>
    <t>Средства недополученные (излишне полученные) в предыдущем периоде регул-ния (на полезный отпуск)</t>
  </si>
  <si>
    <t xml:space="preserve">     </t>
  </si>
  <si>
    <t>15</t>
  </si>
  <si>
    <t>Валовая прибыль (на реализацию)</t>
  </si>
  <si>
    <t>прибыль на развитие производства</t>
  </si>
  <si>
    <t>прибыль на социальные цели</t>
  </si>
  <si>
    <t>прибыль на прочие цели</t>
  </si>
  <si>
    <t>Налоги, сборы, платежи - всего, в том числе</t>
  </si>
  <si>
    <t>на прибыль</t>
  </si>
  <si>
    <t>другие налоги ( в т.ч. УСНО, сельхоз.налог)</t>
  </si>
  <si>
    <t xml:space="preserve">Необходимая валовая выручка (НВВ) от реализации </t>
  </si>
  <si>
    <t>Тариф</t>
  </si>
  <si>
    <t>Рост</t>
  </si>
  <si>
    <t>Всего затрат на тепловую энергию</t>
  </si>
  <si>
    <t>Исполнитель</t>
  </si>
  <si>
    <t>Расход условного топлива</t>
  </si>
  <si>
    <t>т.у.т</t>
  </si>
  <si>
    <t>Удельный расход условного топлива</t>
  </si>
  <si>
    <t>т.у.т/Гкал</t>
  </si>
  <si>
    <t>Расход природного газа</t>
  </si>
  <si>
    <t>тыс.куб.м</t>
  </si>
  <si>
    <t>в т.ч. по договору</t>
  </si>
  <si>
    <t>сверхдоговора</t>
  </si>
  <si>
    <t>Доля в топливном балансе</t>
  </si>
  <si>
    <t xml:space="preserve">Удельный расход природного газа </t>
  </si>
  <si>
    <t>тыс.куб.м/Гкал</t>
  </si>
  <si>
    <t xml:space="preserve"> Теплотворная способность топлива</t>
  </si>
  <si>
    <t>ккал/куб.м</t>
  </si>
  <si>
    <t>Расход угля</t>
  </si>
  <si>
    <t>т</t>
  </si>
  <si>
    <t>Удельный расход угля</t>
  </si>
  <si>
    <t>т./Гкал</t>
  </si>
  <si>
    <t>ккал/кг</t>
  </si>
  <si>
    <t>Расход дров</t>
  </si>
  <si>
    <t>пл.куб.м</t>
  </si>
  <si>
    <t>Удельный расход дров</t>
  </si>
  <si>
    <t>пл.куб.м/Гкал</t>
  </si>
  <si>
    <t>Расход отходов</t>
  </si>
  <si>
    <t>Удельный расход отходов</t>
  </si>
  <si>
    <t>Расход мазута</t>
  </si>
  <si>
    <t>Удельный расход мазута</t>
  </si>
  <si>
    <t>Расход электроэнергии на электрокотлы</t>
  </si>
  <si>
    <t>тыс.кВт.ч</t>
  </si>
  <si>
    <t xml:space="preserve"> электроэнергия по уровню НН</t>
  </si>
  <si>
    <t xml:space="preserve"> электроэнергия по уровню СН2</t>
  </si>
  <si>
    <t>электроэнергия по уровню ВН</t>
  </si>
  <si>
    <t>Удельный расход эл.энергии</t>
  </si>
  <si>
    <t>кВт.ч/Гкал</t>
  </si>
  <si>
    <t xml:space="preserve">Расход </t>
  </si>
  <si>
    <t xml:space="preserve">Удельный расход </t>
  </si>
  <si>
    <t xml:space="preserve">Удельный расход электроэнергии </t>
  </si>
  <si>
    <t>Расход электроэнергии по уровню НН</t>
  </si>
  <si>
    <t>Удельный расход электроэнергии по уровню НН</t>
  </si>
  <si>
    <t>Расход электроэнергии по уровню СН1</t>
  </si>
  <si>
    <t>Удельный расход электроэнергии по уровню СН1</t>
  </si>
  <si>
    <t>Расход электроэнергии по уровню СН2</t>
  </si>
  <si>
    <t>Удельный расход электроэнергии по уровню СН2</t>
  </si>
  <si>
    <t>Расход электроэнергии по уровню ВН</t>
  </si>
  <si>
    <t>Удельный расход электроэнергии по уровню ВН</t>
  </si>
  <si>
    <t>Расход электроэнергии собственной выработки</t>
  </si>
  <si>
    <t>Удельный расход электроэнергии  собств. выработки</t>
  </si>
  <si>
    <t>куб.м</t>
  </si>
  <si>
    <t>Удельный расход исходной воды</t>
  </si>
  <si>
    <t>куб.м/Гкал</t>
  </si>
  <si>
    <t>Расход соли</t>
  </si>
  <si>
    <t>кг</t>
  </si>
  <si>
    <t>Удельный расход соли</t>
  </si>
  <si>
    <t>Расход катионита</t>
  </si>
  <si>
    <t>Удельный расход катионита</t>
  </si>
  <si>
    <t>Удельный расход</t>
  </si>
  <si>
    <t>Цена (тариф, себестоимость)</t>
  </si>
  <si>
    <t>газ</t>
  </si>
  <si>
    <t>Ср.стоимость договорного газа с учетом транспортировки и ССУ</t>
  </si>
  <si>
    <t>руб./тыс.куб.м</t>
  </si>
  <si>
    <t>Ср.стоимость сверхдоговорного газа с учетом транспорт.  и ССУ</t>
  </si>
  <si>
    <t xml:space="preserve">Оптовая стоимость договорного газа </t>
  </si>
  <si>
    <t xml:space="preserve">Оптовая стоимость сверхдоговорного газа </t>
  </si>
  <si>
    <t>Транспортировка газа</t>
  </si>
  <si>
    <t>Плата за снабженческо-сбытовые услуги</t>
  </si>
  <si>
    <t>Стоимость угля</t>
  </si>
  <si>
    <t>руб./т</t>
  </si>
  <si>
    <t>Цена угля (с учётом калорийности)</t>
  </si>
  <si>
    <t>Транспортировка угля</t>
  </si>
  <si>
    <t>Услуги оператора</t>
  </si>
  <si>
    <t>Стоимость дров</t>
  </si>
  <si>
    <t>руб./пл.куб.м</t>
  </si>
  <si>
    <t>Цена дров</t>
  </si>
  <si>
    <t>Стоимость разделки</t>
  </si>
  <si>
    <t>Транспортировка дров</t>
  </si>
  <si>
    <t>Стоимость мазута</t>
  </si>
  <si>
    <t>Цена мазута</t>
  </si>
  <si>
    <t>Транспортировка мазута</t>
  </si>
  <si>
    <t>Стоимость отходов</t>
  </si>
  <si>
    <t>Цена отходов</t>
  </si>
  <si>
    <t>Транспортировка отходов</t>
  </si>
  <si>
    <t>другие</t>
  </si>
  <si>
    <t>Стоимость</t>
  </si>
  <si>
    <t>руб./</t>
  </si>
  <si>
    <t>Цена</t>
  </si>
  <si>
    <t>Транспортировка</t>
  </si>
  <si>
    <t>эл/эн</t>
  </si>
  <si>
    <t>Тариф на электроэнергию по уровню НН</t>
  </si>
  <si>
    <t>руб./тыс.кВт.ч</t>
  </si>
  <si>
    <t>Тариф на электроэнергию по уровню СН1</t>
  </si>
  <si>
    <t>Тариф на электроэнергию по уровню СН2</t>
  </si>
  <si>
    <t>Тариф на электроэнергию по уровню ВН</t>
  </si>
  <si>
    <t>С/ст-ть электроэнергии собственной выработки</t>
  </si>
  <si>
    <t>вода</t>
  </si>
  <si>
    <t>Цена (тариф, с/ст-ть) воды на тех.цели</t>
  </si>
  <si>
    <t>руб./куб.м</t>
  </si>
  <si>
    <t>Цена (тариф, с/ст-ть) стоков на тех.цели</t>
  </si>
  <si>
    <t>матер.</t>
  </si>
  <si>
    <t>Цена соли</t>
  </si>
  <si>
    <t>руб./кг</t>
  </si>
  <si>
    <t>Цена катионита</t>
  </si>
  <si>
    <t>7.1.</t>
  </si>
  <si>
    <t>материалы</t>
  </si>
  <si>
    <t>7.2.</t>
  </si>
  <si>
    <t>заработная плата ремонтного персонала</t>
  </si>
  <si>
    <t>численность ремонтного персонала</t>
  </si>
  <si>
    <t>чел.</t>
  </si>
  <si>
    <t>среднемесячная оплата труда ремонтного персонала</t>
  </si>
  <si>
    <t>руб./чел/мес</t>
  </si>
  <si>
    <t>7.3.</t>
  </si>
  <si>
    <t>страховые взносы с расходов на оплату труда рем. персонала</t>
  </si>
  <si>
    <t>7.4.</t>
  </si>
  <si>
    <t>другие расходы по содержанию и эксплуатации оборудования</t>
  </si>
  <si>
    <t>численность производственного персонала, распределяемого на регулируемый вид деятельности</t>
  </si>
  <si>
    <t>$$2</t>
  </si>
  <si>
    <t>среднемесячная оплата труда производственных рабочих</t>
  </si>
  <si>
    <t>10.1.</t>
  </si>
  <si>
    <t>заработная плата цехового персонала</t>
  </si>
  <si>
    <t>численность цехового персонала, распределяемого на регулируемый вид деятельности</t>
  </si>
  <si>
    <t>среднемесячная оплата труда цехового персонала</t>
  </si>
  <si>
    <t>10.2.</t>
  </si>
  <si>
    <t>страховые взносы с расходов на оплату труда цех.персонала</t>
  </si>
  <si>
    <t>12.1.</t>
  </si>
  <si>
    <t>Покупка тепловой энергии от поставщика №1</t>
  </si>
  <si>
    <t>Тариф на тепловую энергию</t>
  </si>
  <si>
    <t>12.2.</t>
  </si>
  <si>
    <t>Покупка тепловой энергии от поставщика №2</t>
  </si>
  <si>
    <t>13.1.</t>
  </si>
  <si>
    <t>заработная плата АУП</t>
  </si>
  <si>
    <t>численность АУП, распределяемого на регулируемый вид деятельности</t>
  </si>
  <si>
    <t>среднемесячная оплата труда АУП</t>
  </si>
  <si>
    <t>13.2.</t>
  </si>
  <si>
    <t>страховые взносы с расходов на оплату труда АУП</t>
  </si>
  <si>
    <t>13.3.</t>
  </si>
  <si>
    <t>средства на страхование</t>
  </si>
  <si>
    <t>13.4.</t>
  </si>
  <si>
    <t>плата за предельно допустимые выбросы загрязняющих веществ</t>
  </si>
  <si>
    <t>13.5.</t>
  </si>
  <si>
    <t>непроизводственные расходы (налоги и др.обязательные платежи и сборы) всего, в том числе:</t>
  </si>
  <si>
    <t>13.5.1.</t>
  </si>
  <si>
    <t>налог на землю</t>
  </si>
  <si>
    <t>13.5.2.</t>
  </si>
  <si>
    <t>налог на имущество</t>
  </si>
  <si>
    <t>13.6.</t>
  </si>
  <si>
    <t>другие затраты, относимые на себестоимость продукции</t>
  </si>
  <si>
    <t>без НДС</t>
  </si>
  <si>
    <t>Утвержденные тарифы:</t>
  </si>
  <si>
    <t>с 01.01.2013 -</t>
  </si>
  <si>
    <t>с 01.07.2013 -</t>
  </si>
  <si>
    <t>Удельный расход стоков</t>
  </si>
  <si>
    <t>Расходы на прокладку новых участков тепловых сетей</t>
  </si>
  <si>
    <t>к схеме теплоснабжения МО Югское</t>
  </si>
  <si>
    <t>Покупка тепловой энергии</t>
  </si>
  <si>
    <t>Расчет тарифа на тепловую энергию при текущих условиях хозяйствования</t>
  </si>
  <si>
    <t>Расход исходной воды</t>
  </si>
  <si>
    <t>Расход пеллет</t>
  </si>
  <si>
    <t>т/Гкал</t>
  </si>
  <si>
    <t>Расход стоков</t>
  </si>
  <si>
    <t>Приложение № 8.4.</t>
  </si>
  <si>
    <t>ООО "СанТеплоРесурс" (д. Шалимово)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</si>
</sst>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0.000"/>
    <numFmt numFmtId="167" formatCode="#,##0.0000"/>
    <numFmt numFmtId="168" formatCode="0.0"/>
    <numFmt numFmtId="169" formatCode="#,##0.0"/>
    <numFmt numFmtId="170" formatCode="_-* #,##0.000_р_._-;\-* #,##0.000_р_._-;_-* &quot;-&quot;??_р_._-;_-@_-"/>
    <numFmt numFmtId="171" formatCode="#,##0.000"/>
    <numFmt numFmtId="172" formatCode="_-* #,##0.0000_р_._-;\-* #,##0.0000_р_._-;_-* &quot;-&quot;??_р_._-;_-@_-"/>
    <numFmt numFmtId="173" formatCode="_-* #,##0.00000_р_._-;\-* #,##0.00000_р_._-;_-* &quot;-&quot;??_р_._-;_-@_-"/>
  </numFmts>
  <fonts count="22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sz val="12"/>
      <color indexed="9"/>
      <name val="Tahoma"/>
      <family val="2"/>
      <charset val="204"/>
    </font>
    <font>
      <sz val="12"/>
      <name val="Tahoma"/>
      <family val="2"/>
      <charset val="204"/>
    </font>
    <font>
      <sz val="12"/>
      <color indexed="48"/>
      <name val="Tahoma"/>
      <family val="2"/>
      <charset val="204"/>
    </font>
    <font>
      <b/>
      <i/>
      <sz val="12"/>
      <color indexed="12"/>
      <name val="Tahoma"/>
      <family val="2"/>
      <charset val="204"/>
    </font>
    <font>
      <sz val="10"/>
      <name val="Arial CYR"/>
    </font>
    <font>
      <b/>
      <sz val="12"/>
      <name val="Tahoma"/>
      <family val="2"/>
      <charset val="204"/>
    </font>
    <font>
      <b/>
      <sz val="12"/>
      <color indexed="12"/>
      <name val="Tahoma"/>
      <family val="2"/>
      <charset val="204"/>
    </font>
    <font>
      <sz val="12"/>
      <color indexed="55"/>
      <name val="Tahoma"/>
      <family val="2"/>
      <charset val="204"/>
    </font>
    <font>
      <i/>
      <sz val="12"/>
      <color indexed="55"/>
      <name val="Tahoma"/>
      <family val="2"/>
      <charset val="204"/>
    </font>
    <font>
      <i/>
      <sz val="12"/>
      <color indexed="12"/>
      <name val="Tahoma"/>
      <family val="2"/>
      <charset val="204"/>
    </font>
    <font>
      <sz val="12"/>
      <color indexed="12"/>
      <name val="Tahoma"/>
      <family val="2"/>
      <charset val="204"/>
    </font>
    <font>
      <i/>
      <sz val="12"/>
      <name val="Tahoma"/>
      <family val="2"/>
      <charset val="204"/>
    </font>
    <font>
      <b/>
      <sz val="11"/>
      <name val="Tahoma"/>
      <family val="2"/>
      <charset val="204"/>
    </font>
    <font>
      <b/>
      <sz val="12"/>
      <color indexed="12"/>
      <name val="Courier New CYR"/>
      <family val="3"/>
      <charset val="204"/>
    </font>
    <font>
      <sz val="12"/>
      <color indexed="10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1"/>
      <name val="Tahoma"/>
      <family val="2"/>
      <charset val="204"/>
    </font>
    <font>
      <b/>
      <sz val="14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theme="0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9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right"/>
    </xf>
    <xf numFmtId="43" fontId="3" fillId="0" borderId="0" xfId="1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43" fontId="3" fillId="4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0" fontId="5" fillId="5" borderId="1" xfId="0" applyFont="1" applyFill="1" applyBorder="1"/>
    <xf numFmtId="0" fontId="3" fillId="5" borderId="1" xfId="0" applyFont="1" applyFill="1" applyBorder="1"/>
    <xf numFmtId="43" fontId="3" fillId="5" borderId="1" xfId="1" applyNumberFormat="1" applyFont="1" applyFill="1" applyBorder="1" applyAlignment="1"/>
    <xf numFmtId="0" fontId="3" fillId="5" borderId="1" xfId="0" applyFont="1" applyFill="1" applyBorder="1" applyAlignment="1"/>
    <xf numFmtId="43" fontId="3" fillId="5" borderId="1" xfId="1" applyFont="1" applyFill="1" applyBorder="1" applyAlignment="1"/>
    <xf numFmtId="164" fontId="3" fillId="5" borderId="1" xfId="1" applyNumberFormat="1" applyFont="1" applyFill="1" applyBorder="1" applyAlignment="1"/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/>
    <xf numFmtId="165" fontId="8" fillId="0" borderId="1" xfId="0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5" fontId="3" fillId="0" borderId="1" xfId="1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Font="1" applyBorder="1"/>
    <xf numFmtId="165" fontId="7" fillId="0" borderId="1" xfId="1" applyNumberFormat="1" applyFont="1" applyFill="1" applyBorder="1" applyAlignment="1" applyProtection="1">
      <protection locked="0"/>
    </xf>
    <xf numFmtId="165" fontId="7" fillId="0" borderId="1" xfId="0" applyNumberFormat="1" applyFont="1" applyFill="1" applyBorder="1" applyAlignment="1" applyProtection="1">
      <protection locked="0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164" fontId="11" fillId="0" borderId="1" xfId="1" applyNumberFormat="1" applyFont="1" applyFill="1" applyBorder="1" applyAlignment="1"/>
    <xf numFmtId="164" fontId="11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165" fontId="3" fillId="0" borderId="1" xfId="1" applyNumberFormat="1" applyFont="1" applyFill="1" applyBorder="1" applyAlignment="1" applyProtection="1">
      <protection locked="0"/>
    </xf>
    <xf numFmtId="165" fontId="3" fillId="0" borderId="1" xfId="0" applyNumberFormat="1" applyFont="1" applyFill="1" applyBorder="1" applyAlignment="1" applyProtection="1">
      <protection locked="0"/>
    </xf>
    <xf numFmtId="165" fontId="12" fillId="0" borderId="1" xfId="1" applyNumberFormat="1" applyFont="1" applyFill="1" applyBorder="1" applyAlignment="1" applyProtection="1"/>
    <xf numFmtId="0" fontId="13" fillId="0" borderId="1" xfId="0" applyFont="1" applyFill="1" applyBorder="1" applyAlignment="1">
      <alignment horizontal="right"/>
    </xf>
    <xf numFmtId="165" fontId="13" fillId="0" borderId="1" xfId="1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/>
    <xf numFmtId="165" fontId="8" fillId="5" borderId="1" xfId="1" applyNumberFormat="1" applyFont="1" applyFill="1" applyBorder="1" applyAlignment="1" applyProtection="1"/>
    <xf numFmtId="0" fontId="3" fillId="0" borderId="3" xfId="0" applyFont="1" applyFill="1" applyBorder="1"/>
    <xf numFmtId="49" fontId="3" fillId="0" borderId="1" xfId="2" applyNumberFormat="1" applyFont="1" applyFill="1" applyBorder="1" applyAlignment="1" applyProtection="1">
      <alignment vertical="center" wrapText="1"/>
    </xf>
    <xf numFmtId="164" fontId="12" fillId="0" borderId="1" xfId="1" applyNumberFormat="1" applyFont="1" applyFill="1" applyBorder="1" applyAlignment="1" applyProtection="1">
      <protection locked="0"/>
    </xf>
    <xf numFmtId="166" fontId="12" fillId="0" borderId="1" xfId="1" applyNumberFormat="1" applyFont="1" applyFill="1" applyBorder="1" applyAlignment="1" applyProtection="1">
      <alignment horizontal="right" vertical="center" indent="1"/>
      <protection locked="0"/>
    </xf>
    <xf numFmtId="0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7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8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9" fontId="1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164" fontId="3" fillId="0" borderId="1" xfId="1" applyNumberFormat="1" applyFont="1" applyFill="1" applyBorder="1" applyAlignment="1" applyProtection="1">
      <protection locked="0"/>
    </xf>
    <xf numFmtId="164" fontId="3" fillId="0" borderId="1" xfId="0" applyNumberFormat="1" applyFont="1" applyFill="1" applyBorder="1" applyAlignment="1" applyProtection="1">
      <protection locked="0"/>
    </xf>
    <xf numFmtId="0" fontId="3" fillId="0" borderId="1" xfId="0" applyFont="1" applyFill="1" applyBorder="1" applyAlignment="1">
      <alignment wrapText="1" shrinkToFit="1"/>
    </xf>
    <xf numFmtId="164" fontId="3" fillId="6" borderId="1" xfId="0" applyNumberFormat="1" applyFont="1" applyFill="1" applyBorder="1" applyAlignment="1" applyProtection="1">
      <protection locked="0"/>
    </xf>
    <xf numFmtId="169" fontId="12" fillId="0" borderId="4" xfId="0" applyNumberFormat="1" applyFont="1" applyFill="1" applyBorder="1" applyAlignment="1">
      <alignment horizontal="right"/>
    </xf>
    <xf numFmtId="49" fontId="7" fillId="7" borderId="1" xfId="2" applyNumberFormat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/>
    <xf numFmtId="166" fontId="8" fillId="7" borderId="1" xfId="1" applyNumberFormat="1" applyFont="1" applyFill="1" applyBorder="1" applyAlignment="1">
      <alignment horizontal="right" vertical="center" indent="1"/>
    </xf>
    <xf numFmtId="169" fontId="12" fillId="7" borderId="4" xfId="0" applyNumberFormat="1" applyFont="1" applyFill="1" applyBorder="1" applyAlignment="1">
      <alignment horizontal="right"/>
    </xf>
    <xf numFmtId="168" fontId="12" fillId="7" borderId="1" xfId="0" applyNumberFormat="1" applyFont="1" applyFill="1" applyBorder="1" applyAlignment="1">
      <alignment horizontal="right"/>
    </xf>
    <xf numFmtId="43" fontId="8" fillId="7" borderId="1" xfId="1" applyNumberFormat="1" applyFont="1" applyFill="1" applyBorder="1" applyAlignment="1"/>
    <xf numFmtId="169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 applyProtection="1">
      <protection locked="0"/>
    </xf>
    <xf numFmtId="164" fontId="7" fillId="6" borderId="1" xfId="1" applyNumberFormat="1" applyFont="1" applyFill="1" applyBorder="1" applyAlignment="1" applyProtection="1">
      <protection locked="0"/>
    </xf>
    <xf numFmtId="164" fontId="7" fillId="6" borderId="1" xfId="0" applyNumberFormat="1" applyFont="1" applyFill="1" applyBorder="1" applyAlignment="1" applyProtection="1">
      <protection locked="0"/>
    </xf>
    <xf numFmtId="164" fontId="7" fillId="0" borderId="1" xfId="0" applyNumberFormat="1" applyFont="1" applyFill="1" applyBorder="1" applyAlignment="1" applyProtection="1">
      <protection locked="0"/>
    </xf>
    <xf numFmtId="43" fontId="8" fillId="0" borderId="1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/>
    <xf numFmtId="164" fontId="3" fillId="0" borderId="1" xfId="0" applyNumberFormat="1" applyFont="1" applyFill="1" applyBorder="1" applyAlignment="1"/>
    <xf numFmtId="164" fontId="12" fillId="0" borderId="1" xfId="1" applyNumberFormat="1" applyFont="1" applyFill="1" applyBorder="1" applyAlignment="1"/>
    <xf numFmtId="164" fontId="12" fillId="0" borderId="1" xfId="0" applyNumberFormat="1" applyFont="1" applyFill="1" applyBorder="1" applyAlignment="1"/>
    <xf numFmtId="49" fontId="3" fillId="8" borderId="6" xfId="2" applyNumberFormat="1" applyFont="1" applyFill="1" applyBorder="1" applyAlignment="1" applyProtection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49" fontId="7" fillId="8" borderId="1" xfId="2" applyNumberFormat="1" applyFont="1" applyFill="1" applyBorder="1" applyAlignment="1" applyProtection="1">
      <alignment horizontal="center" vertical="center" wrapText="1"/>
    </xf>
    <xf numFmtId="164" fontId="8" fillId="8" borderId="1" xfId="1" applyNumberFormat="1" applyFont="1" applyFill="1" applyBorder="1" applyAlignment="1"/>
    <xf numFmtId="0" fontId="3" fillId="8" borderId="1" xfId="0" applyFont="1" applyFill="1" applyBorder="1"/>
    <xf numFmtId="0" fontId="7" fillId="8" borderId="1" xfId="0" applyFont="1" applyFill="1" applyBorder="1"/>
    <xf numFmtId="1" fontId="8" fillId="8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43" fontId="8" fillId="0" borderId="1" xfId="1" applyFont="1" applyFill="1" applyBorder="1" applyAlignment="1"/>
    <xf numFmtId="164" fontId="8" fillId="0" borderId="1" xfId="1" applyNumberFormat="1" applyFont="1" applyFill="1" applyBorder="1" applyAlignment="1"/>
    <xf numFmtId="164" fontId="8" fillId="0" borderId="1" xfId="0" applyNumberFormat="1" applyFont="1" applyFill="1" applyBorder="1" applyAlignment="1"/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49" fontId="16" fillId="0" borderId="0" xfId="2" applyNumberFormat="1" applyFont="1" applyFill="1" applyBorder="1" applyAlignment="1" applyProtection="1">
      <alignment horizontal="center" vertical="center" wrapText="1"/>
    </xf>
    <xf numFmtId="43" fontId="16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49" fontId="17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/>
    <xf numFmtId="43" fontId="16" fillId="0" borderId="0" xfId="1" applyFont="1" applyFill="1" applyBorder="1" applyAlignment="1"/>
    <xf numFmtId="164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8" fontId="17" fillId="0" borderId="0" xfId="0" applyNumberFormat="1" applyFont="1" applyFill="1" applyBorder="1" applyAlignment="1"/>
    <xf numFmtId="0" fontId="3" fillId="0" borderId="0" xfId="0" applyFont="1" applyFill="1"/>
    <xf numFmtId="49" fontId="7" fillId="9" borderId="1" xfId="2" applyNumberFormat="1" applyFont="1" applyFill="1" applyBorder="1" applyAlignment="1" applyProtection="1">
      <alignment horizontal="center" vertical="center" wrapText="1"/>
    </xf>
    <xf numFmtId="49" fontId="7" fillId="9" borderId="1" xfId="2" applyNumberFormat="1" applyFont="1" applyFill="1" applyBorder="1" applyAlignment="1" applyProtection="1">
      <alignment horizontal="left" vertical="center" wrapText="1"/>
    </xf>
    <xf numFmtId="49" fontId="18" fillId="9" borderId="1" xfId="2" applyNumberFormat="1" applyFont="1" applyFill="1" applyBorder="1" applyAlignment="1" applyProtection="1">
      <alignment horizontal="center" vertical="center" wrapText="1"/>
    </xf>
    <xf numFmtId="43" fontId="12" fillId="9" borderId="1" xfId="1" applyFont="1" applyFill="1" applyBorder="1" applyAlignment="1" applyProtection="1">
      <protection locked="0"/>
    </xf>
    <xf numFmtId="3" fontId="3" fillId="0" borderId="0" xfId="0" applyNumberFormat="1" applyFont="1"/>
    <xf numFmtId="49" fontId="18" fillId="0" borderId="1" xfId="2" applyNumberFormat="1" applyFont="1" applyFill="1" applyBorder="1" applyAlignment="1" applyProtection="1">
      <alignment horizontal="center" vertical="center" wrapText="1"/>
    </xf>
    <xf numFmtId="43" fontId="12" fillId="0" borderId="1" xfId="1" applyFont="1" applyFill="1" applyBorder="1" applyAlignment="1" applyProtection="1">
      <protection locked="0"/>
    </xf>
    <xf numFmtId="4" fontId="7" fillId="0" borderId="0" xfId="0" applyNumberFormat="1" applyFont="1"/>
    <xf numFmtId="49" fontId="3" fillId="0" borderId="1" xfId="2" applyNumberFormat="1" applyFont="1" applyFill="1" applyBorder="1" applyAlignment="1" applyProtection="1">
      <alignment horizontal="right" vertical="center" wrapText="1"/>
    </xf>
    <xf numFmtId="170" fontId="12" fillId="0" borderId="1" xfId="1" applyNumberFormat="1" applyFont="1" applyFill="1" applyBorder="1" applyAlignment="1" applyProtection="1">
      <protection locked="0"/>
    </xf>
    <xf numFmtId="171" fontId="3" fillId="0" borderId="0" xfId="0" applyNumberFormat="1" applyFont="1"/>
    <xf numFmtId="49" fontId="3" fillId="5" borderId="1" xfId="2" applyNumberFormat="1" applyFont="1" applyFill="1" applyBorder="1" applyAlignment="1" applyProtection="1">
      <alignment vertical="center" wrapText="1"/>
    </xf>
    <xf numFmtId="49" fontId="18" fillId="5" borderId="1" xfId="2" applyNumberFormat="1" applyFont="1" applyFill="1" applyBorder="1" applyAlignment="1" applyProtection="1">
      <alignment horizontal="center" vertical="center" wrapText="1"/>
    </xf>
    <xf numFmtId="43" fontId="12" fillId="5" borderId="1" xfId="1" applyFont="1" applyFill="1" applyBorder="1" applyAlignment="1" applyProtection="1">
      <protection locked="0"/>
    </xf>
    <xf numFmtId="43" fontId="11" fillId="5" borderId="1" xfId="1" applyNumberFormat="1" applyFont="1" applyFill="1" applyBorder="1" applyAlignment="1" applyProtection="1">
      <protection locked="0"/>
    </xf>
    <xf numFmtId="43" fontId="3" fillId="0" borderId="1" xfId="1" applyNumberFormat="1" applyFont="1" applyFill="1" applyBorder="1" applyAlignment="1" applyProtection="1">
      <protection locked="0"/>
    </xf>
    <xf numFmtId="43" fontId="12" fillId="0" borderId="1" xfId="1" applyNumberFormat="1" applyFont="1" applyFill="1" applyBorder="1" applyAlignment="1" applyProtection="1">
      <protection locked="0"/>
    </xf>
    <xf numFmtId="43" fontId="11" fillId="0" borderId="1" xfId="1" applyNumberFormat="1" applyFont="1" applyFill="1" applyBorder="1" applyAlignment="1" applyProtection="1">
      <protection locked="0"/>
    </xf>
    <xf numFmtId="43" fontId="12" fillId="0" borderId="1" xfId="0" applyNumberFormat="1" applyFont="1" applyFill="1" applyBorder="1" applyAlignment="1" applyProtection="1">
      <protection locked="0"/>
    </xf>
    <xf numFmtId="170" fontId="13" fillId="0" borderId="1" xfId="1" applyNumberFormat="1" applyFont="1" applyFill="1" applyBorder="1" applyAlignment="1" applyProtection="1">
      <protection locked="0"/>
    </xf>
    <xf numFmtId="167" fontId="3" fillId="0" borderId="0" xfId="0" applyNumberFormat="1" applyFont="1"/>
    <xf numFmtId="170" fontId="12" fillId="0" borderId="0" xfId="1" applyNumberFormat="1" applyFont="1" applyFill="1" applyBorder="1" applyAlignment="1" applyProtection="1">
      <protection locked="0"/>
    </xf>
    <xf numFmtId="3" fontId="3" fillId="0" borderId="0" xfId="0" applyNumberFormat="1" applyFont="1" applyFill="1" applyBorder="1"/>
    <xf numFmtId="43" fontId="12" fillId="5" borderId="1" xfId="1" applyNumberFormat="1" applyFont="1" applyFill="1" applyBorder="1" applyAlignment="1" applyProtection="1">
      <protection locked="0"/>
    </xf>
    <xf numFmtId="43" fontId="12" fillId="0" borderId="0" xfId="1" applyNumberFormat="1" applyFont="1" applyFill="1" applyBorder="1" applyAlignment="1" applyProtection="1">
      <protection locked="0"/>
    </xf>
    <xf numFmtId="165" fontId="12" fillId="0" borderId="1" xfId="0" applyNumberFormat="1" applyFont="1" applyBorder="1" applyAlignment="1" applyProtection="1">
      <protection locked="0"/>
    </xf>
    <xf numFmtId="171" fontId="3" fillId="0" borderId="0" xfId="0" applyNumberFormat="1" applyFont="1" applyBorder="1"/>
    <xf numFmtId="3" fontId="3" fillId="0" borderId="0" xfId="0" applyNumberFormat="1" applyFont="1" applyBorder="1"/>
    <xf numFmtId="165" fontId="12" fillId="5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protection locked="0"/>
    </xf>
    <xf numFmtId="168" fontId="11" fillId="0" borderId="1" xfId="0" applyNumberFormat="1" applyFont="1" applyFill="1" applyBorder="1" applyAlignment="1" applyProtection="1">
      <protection locked="0"/>
    </xf>
    <xf numFmtId="170" fontId="3" fillId="0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49" fontId="3" fillId="3" borderId="1" xfId="2" applyNumberFormat="1" applyFont="1" applyFill="1" applyBorder="1" applyAlignment="1" applyProtection="1">
      <alignment vertical="center" wrapText="1"/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  <protection locked="0"/>
    </xf>
    <xf numFmtId="43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 applyProtection="1">
      <protection locked="0"/>
    </xf>
    <xf numFmtId="43" fontId="11" fillId="0" borderId="1" xfId="1" applyFont="1" applyFill="1" applyBorder="1" applyAlignment="1" applyProtection="1">
      <protection locked="0"/>
    </xf>
    <xf numFmtId="164" fontId="11" fillId="0" borderId="1" xfId="1" applyNumberFormat="1" applyFont="1" applyFill="1" applyBorder="1" applyAlignment="1" applyProtection="1">
      <protection locked="0"/>
    </xf>
    <xf numFmtId="172" fontId="3" fillId="0" borderId="1" xfId="1" applyNumberFormat="1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49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0" xfId="1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164" fontId="3" fillId="0" borderId="0" xfId="1" applyNumberFormat="1" applyFont="1" applyFill="1" applyBorder="1" applyAlignment="1" applyProtection="1">
      <protection locked="0"/>
    </xf>
    <xf numFmtId="49" fontId="7" fillId="5" borderId="1" xfId="2" applyNumberFormat="1" applyFont="1" applyFill="1" applyBorder="1" applyAlignment="1" applyProtection="1">
      <alignment horizontal="center" vertical="center" wrapText="1"/>
    </xf>
    <xf numFmtId="49" fontId="7" fillId="5" borderId="1" xfId="2" applyNumberFormat="1" applyFont="1" applyFill="1" applyBorder="1" applyAlignment="1" applyProtection="1">
      <alignment vertical="center" wrapText="1"/>
    </xf>
    <xf numFmtId="43" fontId="12" fillId="0" borderId="1" xfId="1" applyNumberFormat="1" applyFont="1" applyBorder="1" applyAlignment="1"/>
    <xf numFmtId="43" fontId="3" fillId="6" borderId="1" xfId="1" applyNumberFormat="1" applyFont="1" applyFill="1" applyBorder="1" applyAlignment="1" applyProtection="1">
      <protection locked="0"/>
    </xf>
    <xf numFmtId="0" fontId="3" fillId="10" borderId="1" xfId="0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protection locked="0"/>
    </xf>
    <xf numFmtId="0" fontId="18" fillId="0" borderId="0" xfId="0" applyFont="1"/>
    <xf numFmtId="172" fontId="3" fillId="0" borderId="0" xfId="1" applyNumberFormat="1" applyFont="1" applyFill="1" applyBorder="1" applyAlignment="1" applyProtection="1">
      <protection locked="0"/>
    </xf>
    <xf numFmtId="43" fontId="12" fillId="0" borderId="0" xfId="1" applyNumberFormat="1" applyFont="1" applyBorder="1" applyAlignment="1"/>
    <xf numFmtId="49" fontId="7" fillId="5" borderId="0" xfId="2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/>
    <xf numFmtId="43" fontId="3" fillId="0" borderId="0" xfId="1" applyNumberFormat="1" applyFont="1" applyBorder="1" applyAlignment="1"/>
    <xf numFmtId="0" fontId="3" fillId="0" borderId="0" xfId="0" applyFont="1" applyBorder="1" applyAlignment="1"/>
    <xf numFmtId="43" fontId="3" fillId="0" borderId="0" xfId="1" applyFont="1" applyBorder="1" applyAlignment="1"/>
    <xf numFmtId="164" fontId="3" fillId="0" borderId="0" xfId="1" applyNumberFormat="1" applyFont="1" applyBorder="1" applyAlignment="1"/>
    <xf numFmtId="173" fontId="3" fillId="0" borderId="1" xfId="1" applyNumberFormat="1" applyFont="1" applyFill="1" applyBorder="1" applyAlignment="1" applyProtection="1">
      <protection locked="0"/>
    </xf>
    <xf numFmtId="43" fontId="3" fillId="0" borderId="0" xfId="1" applyNumberFormat="1" applyFont="1" applyAlignment="1"/>
    <xf numFmtId="0" fontId="3" fillId="0" borderId="0" xfId="0" applyFont="1" applyAlignment="1"/>
    <xf numFmtId="43" fontId="3" fillId="0" borderId="0" xfId="1" applyFont="1" applyAlignment="1"/>
    <xf numFmtId="164" fontId="3" fillId="0" borderId="0" xfId="1" applyNumberFormat="1" applyFont="1" applyAlignment="1"/>
    <xf numFmtId="0" fontId="3" fillId="0" borderId="0" xfId="0" applyFont="1" applyBorder="1"/>
    <xf numFmtId="49" fontId="7" fillId="5" borderId="0" xfId="2" applyNumberFormat="1" applyFont="1" applyFill="1" applyBorder="1" applyAlignment="1" applyProtection="1">
      <alignment vertical="center" wrapText="1"/>
    </xf>
    <xf numFmtId="0" fontId="18" fillId="0" borderId="1" xfId="2" applyNumberFormat="1" applyFont="1" applyFill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protection locked="0"/>
    </xf>
    <xf numFmtId="43" fontId="3" fillId="0" borderId="1" xfId="1" applyNumberFormat="1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43" fontId="3" fillId="0" borderId="1" xfId="1" applyFont="1" applyBorder="1" applyAlignment="1" applyProtection="1">
      <protection locked="0"/>
    </xf>
    <xf numFmtId="164" fontId="3" fillId="0" borderId="1" xfId="1" applyNumberFormat="1" applyFont="1" applyBorder="1" applyAlignment="1" applyProtection="1">
      <protection locked="0"/>
    </xf>
    <xf numFmtId="43" fontId="3" fillId="0" borderId="1" xfId="0" applyNumberFormat="1" applyFont="1" applyBorder="1" applyAlignment="1" applyProtection="1">
      <protection locked="0"/>
    </xf>
    <xf numFmtId="0" fontId="3" fillId="3" borderId="1" xfId="0" applyFont="1" applyFill="1" applyBorder="1" applyProtection="1">
      <protection locked="0"/>
    </xf>
    <xf numFmtId="43" fontId="3" fillId="3" borderId="1" xfId="1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43" fontId="3" fillId="3" borderId="1" xfId="1" applyFont="1" applyFill="1" applyBorder="1" applyAlignment="1" applyProtection="1">
      <protection locked="0"/>
    </xf>
    <xf numFmtId="164" fontId="3" fillId="3" borderId="1" xfId="1" applyNumberFormat="1" applyFont="1" applyFill="1" applyBorder="1" applyAlignment="1" applyProtection="1">
      <protection locked="0"/>
    </xf>
    <xf numFmtId="0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3" fontId="3" fillId="0" borderId="0" xfId="1" applyNumberFormat="1" applyFont="1" applyFill="1" applyAlignment="1"/>
    <xf numFmtId="0" fontId="3" fillId="0" borderId="0" xfId="0" applyFont="1" applyFill="1" applyAlignment="1"/>
    <xf numFmtId="43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0" applyFont="1" applyFill="1" applyBorder="1" applyAlignment="1"/>
    <xf numFmtId="0" fontId="19" fillId="5" borderId="0" xfId="0" applyFont="1" applyFill="1"/>
    <xf numFmtId="49" fontId="18" fillId="0" borderId="1" xfId="2" applyNumberFormat="1" applyFont="1" applyFill="1" applyBorder="1" applyAlignment="1" applyProtection="1">
      <alignment horizontal="left" vertical="center" wrapText="1"/>
    </xf>
    <xf numFmtId="168" fontId="3" fillId="0" borderId="1" xfId="0" applyNumberFormat="1" applyFont="1" applyFill="1" applyBorder="1" applyAlignment="1" applyProtection="1">
      <protection locked="0"/>
    </xf>
    <xf numFmtId="168" fontId="12" fillId="0" borderId="1" xfId="0" applyNumberFormat="1" applyFont="1" applyFill="1" applyBorder="1" applyAlignment="1" applyProtection="1">
      <protection locked="0"/>
    </xf>
    <xf numFmtId="43" fontId="12" fillId="0" borderId="6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43" fontId="3" fillId="6" borderId="1" xfId="1" applyFont="1" applyFill="1" applyBorder="1" applyAlignment="1" applyProtection="1">
      <protection locked="0"/>
    </xf>
    <xf numFmtId="168" fontId="3" fillId="6" borderId="1" xfId="0" applyNumberFormat="1" applyFont="1" applyFill="1" applyBorder="1" applyAlignment="1" applyProtection="1">
      <protection locked="0"/>
    </xf>
    <xf numFmtId="0" fontId="3" fillId="3" borderId="1" xfId="0" applyFont="1" applyFill="1" applyBorder="1"/>
    <xf numFmtId="49" fontId="3" fillId="3" borderId="1" xfId="2" applyNumberFormat="1" applyFont="1" applyFill="1" applyBorder="1" applyAlignment="1" applyProtection="1">
      <alignment horizontal="left" vertical="center" wrapText="1"/>
    </xf>
    <xf numFmtId="168" fontId="12" fillId="3" borderId="1" xfId="0" applyNumberFormat="1" applyFont="1" applyFill="1" applyBorder="1" applyAlignment="1" applyProtection="1">
      <protection locked="0"/>
    </xf>
    <xf numFmtId="43" fontId="12" fillId="3" borderId="1" xfId="1" applyFont="1" applyFill="1" applyBorder="1" applyAlignment="1" applyProtection="1">
      <protection locked="0"/>
    </xf>
    <xf numFmtId="164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/>
    <xf numFmtId="43" fontId="3" fillId="10" borderId="1" xfId="1" applyNumberFormat="1" applyFont="1" applyFill="1" applyBorder="1" applyAlignment="1" applyProtection="1">
      <protection locked="0"/>
    </xf>
    <xf numFmtId="164" fontId="3" fillId="6" borderId="1" xfId="1" applyNumberFormat="1" applyFont="1" applyFill="1" applyBorder="1" applyAlignment="1" applyProtection="1">
      <protection locked="0"/>
    </xf>
    <xf numFmtId="168" fontId="3" fillId="0" borderId="1" xfId="0" applyNumberFormat="1" applyFont="1" applyBorder="1" applyAlignment="1" applyProtection="1">
      <protection locked="0"/>
    </xf>
    <xf numFmtId="0" fontId="3" fillId="0" borderId="0" xfId="0" applyFont="1" applyFill="1" applyBorder="1"/>
    <xf numFmtId="49" fontId="3" fillId="0" borderId="0" xfId="2" applyNumberFormat="1" applyFont="1" applyFill="1" applyBorder="1" applyAlignment="1" applyProtection="1">
      <alignment horizontal="left" vertical="center" wrapText="1"/>
    </xf>
    <xf numFmtId="49" fontId="18" fillId="0" borderId="0" xfId="2" applyNumberFormat="1" applyFont="1" applyFill="1" applyBorder="1" applyAlignment="1" applyProtection="1">
      <alignment horizontal="center" vertical="center" wrapText="1"/>
    </xf>
    <xf numFmtId="168" fontId="3" fillId="0" borderId="0" xfId="0" applyNumberFormat="1" applyFont="1" applyFill="1" applyBorder="1" applyAlignment="1" applyProtection="1"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</xf>
    <xf numFmtId="168" fontId="3" fillId="3" borderId="1" xfId="0" applyNumberFormat="1" applyFont="1" applyFill="1" applyBorder="1" applyAlignment="1" applyProtection="1">
      <protection locked="0"/>
    </xf>
    <xf numFmtId="0" fontId="7" fillId="9" borderId="1" xfId="0" applyFont="1" applyFill="1" applyBorder="1" applyAlignment="1">
      <alignment wrapText="1" shrinkToFit="1"/>
    </xf>
    <xf numFmtId="43" fontId="12" fillId="9" borderId="1" xfId="1" applyNumberFormat="1" applyFont="1" applyFill="1" applyBorder="1" applyAlignment="1" applyProtection="1">
      <protection locked="0"/>
    </xf>
    <xf numFmtId="171" fontId="12" fillId="9" borderId="1" xfId="0" applyNumberFormat="1" applyFont="1" applyFill="1" applyBorder="1" applyAlignment="1" applyProtection="1">
      <protection locked="0"/>
    </xf>
    <xf numFmtId="169" fontId="12" fillId="9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NumberFormat="1" applyFont="1" applyFill="1" applyBorder="1" applyAlignment="1" applyProtection="1">
      <alignment horizontal="center"/>
      <protection locked="0"/>
    </xf>
    <xf numFmtId="168" fontId="3" fillId="0" borderId="1" xfId="0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9" fontId="7" fillId="9" borderId="1" xfId="0" applyNumberFormat="1" applyFont="1" applyFill="1" applyBorder="1" applyAlignment="1">
      <alignment wrapText="1" shrinkToFit="1"/>
    </xf>
    <xf numFmtId="0" fontId="3" fillId="0" borderId="0" xfId="0" applyNumberFormat="1" applyFont="1"/>
    <xf numFmtId="43" fontId="12" fillId="5" borderId="1" xfId="1" applyNumberFormat="1" applyFont="1" applyFill="1" applyBorder="1" applyAlignment="1"/>
    <xf numFmtId="16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/>
    <xf numFmtId="0" fontId="18" fillId="0" borderId="1" xfId="0" applyFont="1" applyFill="1" applyBorder="1" applyAlignment="1">
      <alignment horizontal="center"/>
    </xf>
    <xf numFmtId="43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43" fontId="3" fillId="0" borderId="1" xfId="1" applyFont="1" applyFill="1" applyBorder="1" applyAlignment="1"/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3" fontId="3" fillId="0" borderId="1" xfId="1" applyNumberFormat="1" applyFont="1" applyBorder="1" applyAlignment="1"/>
    <xf numFmtId="0" fontId="3" fillId="0" borderId="1" xfId="0" applyFont="1" applyBorder="1" applyAlignment="1"/>
    <xf numFmtId="43" fontId="3" fillId="0" borderId="1" xfId="1" applyFont="1" applyBorder="1" applyAlignment="1"/>
    <xf numFmtId="164" fontId="3" fillId="0" borderId="1" xfId="1" applyNumberFormat="1" applyFont="1" applyBorder="1" applyAlignment="1"/>
    <xf numFmtId="0" fontId="3" fillId="0" borderId="1" xfId="0" applyNumberFormat="1" applyFont="1" applyFill="1" applyBorder="1" applyAlignment="1">
      <alignment horizontal="right"/>
    </xf>
    <xf numFmtId="43" fontId="3" fillId="0" borderId="0" xfId="1" applyNumberFormat="1" applyFont="1"/>
    <xf numFmtId="43" fontId="3" fillId="0" borderId="0" xfId="1" applyFont="1"/>
    <xf numFmtId="164" fontId="3" fillId="0" borderId="0" xfId="1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/>
    <xf numFmtId="170" fontId="11" fillId="0" borderId="1" xfId="1" applyNumberFormat="1" applyFont="1" applyFill="1" applyBorder="1" applyAlignment="1" applyProtection="1">
      <protection locked="0"/>
    </xf>
    <xf numFmtId="43" fontId="21" fillId="0" borderId="1" xfId="1" applyNumberFormat="1" applyFont="1" applyFill="1" applyBorder="1" applyAlignment="1" applyProtection="1">
      <protection locked="0"/>
    </xf>
    <xf numFmtId="168" fontId="21" fillId="6" borderId="1" xfId="0" applyNumberFormat="1" applyFont="1" applyFill="1" applyBorder="1" applyAlignment="1" applyProtection="1">
      <protection locked="0"/>
    </xf>
    <xf numFmtId="168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right" vertical="center" wrapText="1"/>
    </xf>
    <xf numFmtId="49" fontId="3" fillId="0" borderId="6" xfId="2" applyNumberFormat="1" applyFont="1" applyFill="1" applyBorder="1" applyAlignment="1" applyProtection="1">
      <alignment horizontal="right" vertical="center" wrapText="1"/>
    </xf>
    <xf numFmtId="168" fontId="3" fillId="3" borderId="0" xfId="0" applyNumberFormat="1" applyFont="1" applyFill="1" applyBorder="1" applyAlignment="1">
      <alignment vertical="center" wrapText="1"/>
    </xf>
    <xf numFmtId="49" fontId="3" fillId="7" borderId="5" xfId="2" applyNumberFormat="1" applyFont="1" applyFill="1" applyBorder="1" applyAlignment="1" applyProtection="1">
      <alignment horizontal="center" vertical="center" wrapText="1"/>
    </xf>
    <xf numFmtId="49" fontId="3" fillId="7" borderId="6" xfId="2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Тепло" xfId="2"/>
    <cellStyle name="Финансовый" xfId="1" builtinId="3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F218"/>
  <sheetViews>
    <sheetView tabSelected="1" view="pageBreakPreview" zoomScale="60" zoomScaleNormal="75" workbookViewId="0">
      <pane xSplit="5" ySplit="14" topLeftCell="Y51" activePane="bottomRight" state="frozen"/>
      <selection activeCell="C1" sqref="C1"/>
      <selection pane="topRight" activeCell="F1" sqref="F1"/>
      <selection pane="bottomLeft" activeCell="C10" sqref="C10"/>
      <selection pane="bottomRight" activeCell="Z168" sqref="Z168"/>
    </sheetView>
  </sheetViews>
  <sheetFormatPr defaultRowHeight="15" outlineLevelRow="1" x14ac:dyDescent="0.2"/>
  <cols>
    <col min="1" max="1" width="47.125" style="2" hidden="1" customWidth="1"/>
    <col min="2" max="2" width="9" style="2" hidden="1" customWidth="1"/>
    <col min="3" max="3" width="7.75" style="2" customWidth="1"/>
    <col min="4" max="4" width="61" style="2" customWidth="1"/>
    <col min="5" max="5" width="14.25" style="2" customWidth="1"/>
    <col min="6" max="6" width="16.375" style="248" hidden="1" customWidth="1"/>
    <col min="7" max="7" width="13.625" style="2" hidden="1" customWidth="1"/>
    <col min="8" max="8" width="14.625" style="249" hidden="1" customWidth="1"/>
    <col min="9" max="13" width="13.625" style="2" hidden="1" customWidth="1"/>
    <col min="14" max="14" width="14.625" style="250" customWidth="1"/>
    <col min="15" max="15" width="14.625" style="249" hidden="1" customWidth="1"/>
    <col min="16" max="18" width="15.625" style="2" hidden="1" customWidth="1"/>
    <col min="19" max="19" width="18.625" style="2" customWidth="1"/>
    <col min="20" max="20" width="13.625" style="2" hidden="1" customWidth="1"/>
    <col min="21" max="24" width="8.625" style="2" hidden="1" customWidth="1"/>
    <col min="25" max="25" width="19.25" style="2" customWidth="1"/>
    <col min="26" max="26" width="14.875" style="2" customWidth="1"/>
    <col min="27" max="32" width="15.125" style="2" bestFit="1" customWidth="1"/>
    <col min="33" max="16384" width="9" style="2"/>
  </cols>
  <sheetData>
    <row r="1" spans="1:32" ht="15.75" customHeight="1" x14ac:dyDescent="0.2">
      <c r="A1" s="1" t="s">
        <v>0</v>
      </c>
      <c r="C1" s="281" t="s">
        <v>286</v>
      </c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</row>
    <row r="2" spans="1:32" ht="15.75" customHeight="1" x14ac:dyDescent="0.2">
      <c r="C2" s="281" t="s">
        <v>279</v>
      </c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</row>
    <row r="3" spans="1:32" ht="15.75" customHeight="1" x14ac:dyDescent="0.2">
      <c r="C3" s="282" t="s">
        <v>287</v>
      </c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</row>
    <row r="4" spans="1:32" x14ac:dyDescent="0.2">
      <c r="E4" s="3"/>
      <c r="F4" s="3"/>
      <c r="G4" s="3"/>
      <c r="H4" s="3"/>
      <c r="I4" s="3"/>
      <c r="J4" s="3"/>
      <c r="K4" s="3"/>
      <c r="L4" s="3"/>
      <c r="M4" s="3"/>
      <c r="N4" s="6"/>
      <c r="O4" s="5"/>
      <c r="P4" s="3"/>
      <c r="Q4" s="3"/>
      <c r="R4" s="3"/>
      <c r="S4" s="3"/>
    </row>
    <row r="5" spans="1:32" x14ac:dyDescent="0.2">
      <c r="D5" s="251" t="s">
        <v>274</v>
      </c>
      <c r="E5" s="3" t="s">
        <v>273</v>
      </c>
      <c r="F5" s="4"/>
      <c r="G5" s="3"/>
      <c r="H5" s="5"/>
      <c r="I5" s="3"/>
      <c r="J5" s="3"/>
      <c r="K5" s="3"/>
      <c r="L5" s="3"/>
      <c r="M5" s="3"/>
      <c r="N5" s="6"/>
      <c r="O5" s="5"/>
      <c r="P5" s="3"/>
      <c r="Q5" s="3"/>
      <c r="R5" s="3"/>
      <c r="S5" s="3"/>
    </row>
    <row r="6" spans="1:32" x14ac:dyDescent="0.2">
      <c r="D6" s="251" t="s">
        <v>275</v>
      </c>
      <c r="E6" s="3">
        <v>1912</v>
      </c>
      <c r="F6" s="4"/>
      <c r="G6" s="3"/>
      <c r="H6" s="5"/>
      <c r="I6" s="3"/>
      <c r="J6" s="3"/>
      <c r="K6" s="3"/>
      <c r="L6" s="3"/>
      <c r="M6" s="3"/>
      <c r="N6" s="6" t="s">
        <v>108</v>
      </c>
      <c r="O6" s="5"/>
      <c r="P6" s="3"/>
      <c r="Q6" s="3"/>
      <c r="R6" s="3"/>
      <c r="S6" s="3"/>
    </row>
    <row r="7" spans="1:32" x14ac:dyDescent="0.2">
      <c r="D7" s="251" t="s">
        <v>276</v>
      </c>
      <c r="E7" s="3">
        <v>2183</v>
      </c>
      <c r="F7" s="4"/>
      <c r="G7" s="3"/>
      <c r="H7" s="5"/>
      <c r="I7" s="3"/>
      <c r="J7" s="3"/>
      <c r="K7" s="3"/>
      <c r="L7" s="3"/>
      <c r="M7" s="3"/>
      <c r="N7" s="6" t="s">
        <v>108</v>
      </c>
      <c r="O7" s="5"/>
      <c r="P7" s="3"/>
      <c r="Q7" s="3"/>
      <c r="R7" s="3"/>
      <c r="S7" s="3"/>
    </row>
    <row r="8" spans="1:32" hidden="1" x14ac:dyDescent="0.2">
      <c r="E8" s="3"/>
      <c r="F8" s="4"/>
      <c r="G8" s="3"/>
      <c r="H8" s="5"/>
      <c r="I8" s="3"/>
      <c r="J8" s="3"/>
      <c r="K8" s="3"/>
      <c r="L8" s="3"/>
      <c r="M8" s="3"/>
      <c r="N8" s="6" t="s">
        <v>108</v>
      </c>
      <c r="O8" s="5"/>
      <c r="P8" s="3"/>
      <c r="Q8" s="3"/>
      <c r="R8" s="3"/>
      <c r="S8" s="3"/>
    </row>
    <row r="9" spans="1:32" x14ac:dyDescent="0.2">
      <c r="E9" s="3"/>
      <c r="F9" s="4"/>
      <c r="G9" s="3"/>
      <c r="H9" s="5"/>
      <c r="I9" s="3"/>
      <c r="J9" s="3"/>
      <c r="K9" s="3"/>
      <c r="L9" s="3"/>
      <c r="M9" s="3"/>
      <c r="N9" s="6"/>
      <c r="O9" s="5"/>
      <c r="P9" s="3"/>
      <c r="Q9" s="3"/>
      <c r="R9" s="3"/>
      <c r="S9" s="3"/>
    </row>
    <row r="10" spans="1:32" ht="15" customHeight="1" x14ac:dyDescent="0.2">
      <c r="C10" s="283"/>
      <c r="D10" s="283"/>
      <c r="E10" s="277" t="s">
        <v>1</v>
      </c>
      <c r="F10" s="284">
        <v>2010</v>
      </c>
      <c r="G10" s="285"/>
      <c r="H10" s="285"/>
      <c r="I10" s="285"/>
      <c r="J10" s="285"/>
      <c r="K10" s="285"/>
      <c r="L10" s="285"/>
      <c r="M10" s="286"/>
      <c r="N10" s="287" t="s">
        <v>2</v>
      </c>
      <c r="O10" s="284" t="s">
        <v>3</v>
      </c>
      <c r="P10" s="285"/>
      <c r="Q10" s="285"/>
      <c r="R10" s="285"/>
      <c r="S10" s="286"/>
      <c r="Y10" s="7" t="s">
        <v>4</v>
      </c>
      <c r="Z10" s="284" t="s">
        <v>281</v>
      </c>
      <c r="AA10" s="285"/>
      <c r="AB10" s="285"/>
      <c r="AC10" s="285"/>
      <c r="AD10" s="285"/>
      <c r="AE10" s="285"/>
      <c r="AF10" s="286"/>
    </row>
    <row r="11" spans="1:32" ht="15.75" customHeight="1" x14ac:dyDescent="0.2">
      <c r="C11" s="283"/>
      <c r="D11" s="283"/>
      <c r="E11" s="277"/>
      <c r="F11" s="288" t="s">
        <v>5</v>
      </c>
      <c r="G11" s="289" t="s">
        <v>6</v>
      </c>
      <c r="H11" s="279" t="s">
        <v>7</v>
      </c>
      <c r="I11" s="289" t="s">
        <v>6</v>
      </c>
      <c r="J11" s="289" t="s">
        <v>8</v>
      </c>
      <c r="K11" s="277" t="s">
        <v>9</v>
      </c>
      <c r="L11" s="278" t="s">
        <v>10</v>
      </c>
      <c r="M11" s="278"/>
      <c r="N11" s="287"/>
      <c r="O11" s="279" t="s">
        <v>11</v>
      </c>
      <c r="P11" s="272" t="s">
        <v>12</v>
      </c>
      <c r="Q11" s="272" t="s">
        <v>13</v>
      </c>
      <c r="R11" s="272" t="s">
        <v>14</v>
      </c>
      <c r="S11" s="272" t="s">
        <v>15</v>
      </c>
      <c r="Y11" s="272" t="s">
        <v>15</v>
      </c>
      <c r="Z11" s="274" t="s">
        <v>16</v>
      </c>
      <c r="AA11" s="274" t="s">
        <v>17</v>
      </c>
      <c r="AB11" s="274" t="s">
        <v>18</v>
      </c>
      <c r="AC11" s="274" t="s">
        <v>19</v>
      </c>
      <c r="AD11" s="274" t="s">
        <v>20</v>
      </c>
      <c r="AE11" s="274" t="s">
        <v>21</v>
      </c>
      <c r="AF11" s="274" t="s">
        <v>22</v>
      </c>
    </row>
    <row r="12" spans="1:32" x14ac:dyDescent="0.2">
      <c r="C12" s="283"/>
      <c r="D12" s="283"/>
      <c r="E12" s="277"/>
      <c r="F12" s="288"/>
      <c r="G12" s="289"/>
      <c r="H12" s="280"/>
      <c r="I12" s="289"/>
      <c r="J12" s="289"/>
      <c r="K12" s="277"/>
      <c r="L12" s="8" t="s">
        <v>23</v>
      </c>
      <c r="M12" s="8" t="s">
        <v>6</v>
      </c>
      <c r="N12" s="287"/>
      <c r="O12" s="280"/>
      <c r="P12" s="273"/>
      <c r="Q12" s="273"/>
      <c r="R12" s="273"/>
      <c r="S12" s="273"/>
      <c r="Y12" s="273"/>
      <c r="Z12" s="274"/>
      <c r="AA12" s="274"/>
      <c r="AB12" s="274"/>
      <c r="AC12" s="274"/>
      <c r="AD12" s="274"/>
      <c r="AE12" s="274"/>
      <c r="AF12" s="274"/>
    </row>
    <row r="13" spans="1:32" x14ac:dyDescent="0.2">
      <c r="A13" s="1" t="s">
        <v>24</v>
      </c>
      <c r="C13" s="9"/>
      <c r="D13" s="9" t="s">
        <v>25</v>
      </c>
      <c r="E13" s="9"/>
      <c r="F13" s="10" t="s">
        <v>26</v>
      </c>
      <c r="G13" s="11"/>
      <c r="H13" s="12" t="s">
        <v>26</v>
      </c>
      <c r="I13" s="11"/>
      <c r="J13" s="11"/>
      <c r="K13" s="11"/>
      <c r="L13" s="11"/>
      <c r="M13" s="11"/>
      <c r="N13" s="13" t="s">
        <v>26</v>
      </c>
      <c r="O13" s="12" t="s">
        <v>26</v>
      </c>
      <c r="P13" s="11" t="s">
        <v>26</v>
      </c>
      <c r="Q13" s="11" t="s">
        <v>26</v>
      </c>
      <c r="R13" s="11" t="s">
        <v>26</v>
      </c>
      <c r="S13" s="11" t="s">
        <v>26</v>
      </c>
      <c r="Y13" s="11" t="s">
        <v>26</v>
      </c>
      <c r="Z13" s="11" t="s">
        <v>26</v>
      </c>
      <c r="AA13" s="11" t="s">
        <v>26</v>
      </c>
      <c r="AB13" s="11" t="s">
        <v>26</v>
      </c>
      <c r="AC13" s="11" t="s">
        <v>26</v>
      </c>
      <c r="AD13" s="11" t="s">
        <v>26</v>
      </c>
      <c r="AE13" s="11" t="s">
        <v>26</v>
      </c>
      <c r="AF13" s="11" t="s">
        <v>26</v>
      </c>
    </row>
    <row r="14" spans="1:32" ht="16.5" customHeight="1" x14ac:dyDescent="0.2">
      <c r="A14" s="1" t="s">
        <v>26</v>
      </c>
      <c r="C14" s="14" t="s">
        <v>27</v>
      </c>
      <c r="D14" s="15"/>
      <c r="E14" s="15"/>
      <c r="F14" s="16"/>
      <c r="G14" s="17"/>
      <c r="H14" s="18"/>
      <c r="I14" s="17"/>
      <c r="J14" s="17"/>
      <c r="K14" s="17"/>
      <c r="L14" s="17"/>
      <c r="M14" s="17"/>
      <c r="N14" s="19"/>
      <c r="O14" s="18"/>
      <c r="P14" s="17"/>
      <c r="Q14" s="17"/>
      <c r="R14" s="17"/>
      <c r="S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">
      <c r="C15" s="20">
        <v>1</v>
      </c>
      <c r="D15" s="21" t="s">
        <v>28</v>
      </c>
      <c r="E15" s="22" t="s">
        <v>29</v>
      </c>
      <c r="F15" s="23">
        <f>F23+F26-F25</f>
        <v>990.6</v>
      </c>
      <c r="G15" s="24"/>
      <c r="H15" s="23">
        <f>H23+H26-H25</f>
        <v>990.6</v>
      </c>
      <c r="I15" s="23"/>
      <c r="J15" s="23"/>
      <c r="K15" s="23"/>
      <c r="L15" s="23"/>
      <c r="M15" s="23"/>
      <c r="N15" s="23">
        <f t="shared" ref="N15:S15" si="0">N23+N26-N25</f>
        <v>1420.7</v>
      </c>
      <c r="O15" s="23">
        <f t="shared" si="0"/>
        <v>653.1</v>
      </c>
      <c r="P15" s="23">
        <f t="shared" si="0"/>
        <v>1506</v>
      </c>
      <c r="Q15" s="23">
        <f t="shared" si="0"/>
        <v>1506</v>
      </c>
      <c r="R15" s="23">
        <f t="shared" si="0"/>
        <v>1506</v>
      </c>
      <c r="S15" s="23">
        <f t="shared" si="0"/>
        <v>1420.7</v>
      </c>
      <c r="Y15" s="23">
        <f>Y23+Y26-Y25</f>
        <v>1420.7</v>
      </c>
      <c r="Z15" s="23">
        <f t="shared" ref="Z15:AF15" si="1">Z23+Z26-Z25</f>
        <v>1420.7</v>
      </c>
      <c r="AA15" s="23">
        <f t="shared" si="1"/>
        <v>1420.7</v>
      </c>
      <c r="AB15" s="23">
        <f t="shared" si="1"/>
        <v>1420.7</v>
      </c>
      <c r="AC15" s="23">
        <f t="shared" si="1"/>
        <v>1420.7</v>
      </c>
      <c r="AD15" s="23">
        <f t="shared" si="1"/>
        <v>1420.7</v>
      </c>
      <c r="AE15" s="23">
        <f t="shared" si="1"/>
        <v>1420.7</v>
      </c>
      <c r="AF15" s="23">
        <f t="shared" si="1"/>
        <v>1420.7</v>
      </c>
    </row>
    <row r="16" spans="1:32" outlineLevel="1" x14ac:dyDescent="0.2">
      <c r="C16" s="25"/>
      <c r="D16" s="26" t="s">
        <v>30</v>
      </c>
      <c r="E16" s="22" t="s">
        <v>29</v>
      </c>
      <c r="F16" s="27"/>
      <c r="G16" s="28"/>
      <c r="H16" s="27"/>
      <c r="I16" s="28"/>
      <c r="J16" s="28"/>
      <c r="K16" s="28"/>
      <c r="L16" s="28"/>
      <c r="M16" s="28"/>
      <c r="N16" s="27">
        <v>1420.7</v>
      </c>
      <c r="O16" s="27">
        <v>1420.7</v>
      </c>
      <c r="P16" s="27">
        <v>1420.7</v>
      </c>
      <c r="Q16" s="27">
        <v>1420.7</v>
      </c>
      <c r="R16" s="27">
        <v>1420.7</v>
      </c>
      <c r="S16" s="27">
        <v>1420.7</v>
      </c>
      <c r="T16" s="27">
        <v>1420.7</v>
      </c>
      <c r="U16" s="27">
        <v>1420.7</v>
      </c>
      <c r="V16" s="27">
        <v>1420.7</v>
      </c>
      <c r="W16" s="27">
        <v>1420.7</v>
      </c>
      <c r="X16" s="27">
        <v>1420.7</v>
      </c>
      <c r="Y16" s="27">
        <v>1420.7</v>
      </c>
      <c r="Z16" s="27">
        <v>1420.7</v>
      </c>
      <c r="AA16" s="27">
        <v>1420.7</v>
      </c>
      <c r="AB16" s="27">
        <v>1420.7</v>
      </c>
      <c r="AC16" s="27">
        <v>1420.7</v>
      </c>
      <c r="AD16" s="27">
        <v>1420.7</v>
      </c>
      <c r="AE16" s="27">
        <v>1420.7</v>
      </c>
      <c r="AF16" s="27">
        <v>1420.7</v>
      </c>
    </row>
    <row r="17" spans="1:32" outlineLevel="1" x14ac:dyDescent="0.2">
      <c r="C17" s="25"/>
      <c r="D17" s="26" t="s">
        <v>31</v>
      </c>
      <c r="E17" s="22" t="s">
        <v>29</v>
      </c>
      <c r="F17" s="27"/>
      <c r="G17" s="28"/>
      <c r="H17" s="27"/>
      <c r="I17" s="28"/>
      <c r="J17" s="28"/>
      <c r="K17" s="28"/>
      <c r="L17" s="28"/>
      <c r="M17" s="28"/>
      <c r="N17" s="27"/>
      <c r="O17" s="27">
        <v>1872.1</v>
      </c>
      <c r="P17" s="27">
        <v>1872.1</v>
      </c>
      <c r="Q17" s="27">
        <v>1872.1</v>
      </c>
      <c r="R17" s="27">
        <v>1872.1</v>
      </c>
      <c r="S17" s="27"/>
      <c r="T17" s="27">
        <v>1872.1</v>
      </c>
      <c r="U17" s="27">
        <v>1872.1</v>
      </c>
      <c r="V17" s="27">
        <v>1872.1</v>
      </c>
      <c r="W17" s="27">
        <v>1872.1</v>
      </c>
      <c r="X17" s="27">
        <v>1872.1</v>
      </c>
      <c r="Y17" s="27"/>
      <c r="Z17" s="29"/>
      <c r="AA17" s="29"/>
      <c r="AB17" s="29"/>
      <c r="AC17" s="29"/>
      <c r="AD17" s="29"/>
      <c r="AE17" s="29"/>
      <c r="AF17" s="29"/>
    </row>
    <row r="18" spans="1:32" outlineLevel="1" x14ac:dyDescent="0.2">
      <c r="C18" s="25"/>
      <c r="D18" s="26" t="s">
        <v>32</v>
      </c>
      <c r="E18" s="22" t="s">
        <v>29</v>
      </c>
      <c r="F18" s="27">
        <v>991</v>
      </c>
      <c r="G18" s="28"/>
      <c r="H18" s="27">
        <v>991</v>
      </c>
      <c r="I18" s="28"/>
      <c r="J18" s="28"/>
      <c r="K18" s="28"/>
      <c r="L18" s="28"/>
      <c r="M18" s="28"/>
      <c r="N18" s="27"/>
      <c r="O18" s="27">
        <f t="shared" ref="O18:X18" si="2">O15</f>
        <v>653.1</v>
      </c>
      <c r="P18" s="27">
        <f t="shared" si="2"/>
        <v>1506</v>
      </c>
      <c r="Q18" s="27">
        <f t="shared" si="2"/>
        <v>1506</v>
      </c>
      <c r="R18" s="27">
        <f t="shared" si="2"/>
        <v>1506</v>
      </c>
      <c r="S18" s="27"/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/>
      <c r="Z18" s="27"/>
      <c r="AA18" s="27"/>
      <c r="AB18" s="27"/>
      <c r="AC18" s="27"/>
      <c r="AD18" s="27"/>
      <c r="AE18" s="27"/>
      <c r="AF18" s="27"/>
    </row>
    <row r="19" spans="1:32" outlineLevel="1" x14ac:dyDescent="0.2">
      <c r="C19" s="25"/>
      <c r="D19" s="26" t="s">
        <v>33</v>
      </c>
      <c r="E19" s="22" t="s">
        <v>29</v>
      </c>
      <c r="F19" s="27"/>
      <c r="G19" s="28"/>
      <c r="H19" s="27"/>
      <c r="I19" s="28"/>
      <c r="J19" s="28"/>
      <c r="K19" s="28"/>
      <c r="L19" s="28"/>
      <c r="M19" s="28"/>
      <c r="N19" s="27"/>
      <c r="O19" s="27"/>
      <c r="P19" s="27"/>
      <c r="Q19" s="27"/>
      <c r="R19" s="27"/>
      <c r="S19" s="27"/>
      <c r="Y19" s="27"/>
      <c r="Z19" s="29"/>
      <c r="AA19" s="29"/>
      <c r="AB19" s="29"/>
      <c r="AC19" s="29"/>
      <c r="AD19" s="29"/>
      <c r="AE19" s="29"/>
      <c r="AF19" s="29"/>
    </row>
    <row r="20" spans="1:32" outlineLevel="1" x14ac:dyDescent="0.2">
      <c r="C20" s="25"/>
      <c r="D20" s="26" t="s">
        <v>34</v>
      </c>
      <c r="E20" s="22" t="s">
        <v>29</v>
      </c>
      <c r="F20" s="27"/>
      <c r="G20" s="28"/>
      <c r="H20" s="27"/>
      <c r="I20" s="28"/>
      <c r="J20" s="28"/>
      <c r="K20" s="28"/>
      <c r="L20" s="28"/>
      <c r="M20" s="28"/>
      <c r="N20" s="27"/>
      <c r="O20" s="27"/>
      <c r="P20" s="27"/>
      <c r="Q20" s="27"/>
      <c r="R20" s="27"/>
      <c r="S20" s="27"/>
      <c r="Y20" s="27"/>
      <c r="Z20" s="29"/>
      <c r="AA20" s="29"/>
      <c r="AB20" s="29"/>
      <c r="AC20" s="29"/>
      <c r="AD20" s="29"/>
      <c r="AE20" s="29"/>
      <c r="AF20" s="29"/>
    </row>
    <row r="21" spans="1:32" outlineLevel="1" x14ac:dyDescent="0.2">
      <c r="C21" s="25"/>
      <c r="D21" s="26" t="s">
        <v>35</v>
      </c>
      <c r="E21" s="22" t="s">
        <v>29</v>
      </c>
      <c r="F21" s="27"/>
      <c r="G21" s="28"/>
      <c r="H21" s="27"/>
      <c r="I21" s="28"/>
      <c r="J21" s="28"/>
      <c r="K21" s="28"/>
      <c r="L21" s="28"/>
      <c r="M21" s="28"/>
      <c r="N21" s="27"/>
      <c r="O21" s="27"/>
      <c r="P21" s="27"/>
      <c r="Q21" s="27"/>
      <c r="R21" s="27"/>
      <c r="S21" s="27"/>
      <c r="Y21" s="27"/>
      <c r="Z21" s="29"/>
      <c r="AA21" s="29"/>
      <c r="AB21" s="29"/>
      <c r="AC21" s="29"/>
      <c r="AD21" s="29"/>
      <c r="AE21" s="29"/>
      <c r="AF21" s="29"/>
    </row>
    <row r="22" spans="1:32" outlineLevel="1" x14ac:dyDescent="0.2">
      <c r="C22" s="25"/>
      <c r="D22" s="26" t="s">
        <v>36</v>
      </c>
      <c r="E22" s="22" t="s">
        <v>29</v>
      </c>
      <c r="F22" s="27"/>
      <c r="G22" s="28"/>
      <c r="H22" s="27"/>
      <c r="I22" s="28"/>
      <c r="J22" s="28"/>
      <c r="K22" s="28"/>
      <c r="L22" s="28"/>
      <c r="M22" s="28"/>
      <c r="N22" s="27"/>
      <c r="O22" s="27"/>
      <c r="P22" s="27"/>
      <c r="Q22" s="27"/>
      <c r="R22" s="27"/>
      <c r="S22" s="27"/>
      <c r="Y22" s="27"/>
      <c r="Z22" s="29"/>
      <c r="AA22" s="252"/>
      <c r="AB22" s="252"/>
      <c r="AC22" s="252"/>
      <c r="AD22" s="252"/>
      <c r="AE22" s="252"/>
      <c r="AF22" s="252"/>
    </row>
    <row r="23" spans="1:32" x14ac:dyDescent="0.2">
      <c r="C23" s="20" t="s">
        <v>37</v>
      </c>
      <c r="D23" s="21" t="s">
        <v>38</v>
      </c>
      <c r="E23" s="22" t="s">
        <v>29</v>
      </c>
      <c r="F23" s="30">
        <v>35</v>
      </c>
      <c r="G23" s="31"/>
      <c r="H23" s="30">
        <v>35</v>
      </c>
      <c r="I23" s="31"/>
      <c r="J23" s="31"/>
      <c r="K23" s="31"/>
      <c r="L23" s="31"/>
      <c r="M23" s="31"/>
      <c r="N23" s="30">
        <v>28.3</v>
      </c>
      <c r="O23" s="30">
        <v>35</v>
      </c>
      <c r="P23" s="30">
        <v>35</v>
      </c>
      <c r="Q23" s="30">
        <v>35</v>
      </c>
      <c r="R23" s="30">
        <v>35</v>
      </c>
      <c r="S23" s="30">
        <f>N23</f>
        <v>28.3</v>
      </c>
      <c r="Y23" s="30">
        <f>N23</f>
        <v>28.3</v>
      </c>
      <c r="Z23" s="30">
        <f>N23</f>
        <v>28.3</v>
      </c>
      <c r="AA23" s="30">
        <f>Z23</f>
        <v>28.3</v>
      </c>
      <c r="AB23" s="30">
        <f>Z23</f>
        <v>28.3</v>
      </c>
      <c r="AC23" s="30">
        <f>AA23</f>
        <v>28.3</v>
      </c>
      <c r="AD23" s="30">
        <f>AA23</f>
        <v>28.3</v>
      </c>
      <c r="AE23" s="30">
        <f>AA23</f>
        <v>28.3</v>
      </c>
      <c r="AF23" s="30">
        <f>AA23</f>
        <v>28.3</v>
      </c>
    </row>
    <row r="24" spans="1:32" x14ac:dyDescent="0.2">
      <c r="A24" s="2" t="s">
        <v>39</v>
      </c>
      <c r="C24" s="32"/>
      <c r="D24" s="33" t="s">
        <v>40</v>
      </c>
      <c r="E24" s="34" t="s">
        <v>41</v>
      </c>
      <c r="F24" s="35">
        <f>IF(F15&lt;&gt;0,F23/F15*100,"-")</f>
        <v>3.5332121946295176</v>
      </c>
      <c r="G24" s="36"/>
      <c r="H24" s="35">
        <f>IF(H15&lt;&gt;0,H23/H15*100,"-")</f>
        <v>3.5332121946295176</v>
      </c>
      <c r="I24" s="36"/>
      <c r="J24" s="36"/>
      <c r="K24" s="36"/>
      <c r="L24" s="36"/>
      <c r="M24" s="36"/>
      <c r="N24" s="35">
        <f t="shared" ref="N24:S24" si="3">IF(N15&lt;&gt;0,N23/N15*100,"-")</f>
        <v>1.9919757865840784</v>
      </c>
      <c r="O24" s="35">
        <f t="shared" si="3"/>
        <v>5.359056806002144</v>
      </c>
      <c r="P24" s="35">
        <f t="shared" si="3"/>
        <v>2.3240371845949537</v>
      </c>
      <c r="Q24" s="35">
        <f t="shared" si="3"/>
        <v>2.3240371845949537</v>
      </c>
      <c r="R24" s="35">
        <f t="shared" si="3"/>
        <v>2.3240371845949537</v>
      </c>
      <c r="S24" s="35">
        <f t="shared" si="3"/>
        <v>1.9919757865840784</v>
      </c>
      <c r="Y24" s="35">
        <f>IF(Y15&lt;&gt;0,Y23/Y15*100,"-")</f>
        <v>1.9919757865840784</v>
      </c>
      <c r="Z24" s="35">
        <f t="shared" ref="Z24:AF24" si="4">IF(Z15&lt;&gt;0,Z23/Z15*100,"-")</f>
        <v>1.9919757865840784</v>
      </c>
      <c r="AA24" s="35">
        <f t="shared" si="4"/>
        <v>1.9919757865840784</v>
      </c>
      <c r="AB24" s="35">
        <f t="shared" si="4"/>
        <v>1.9919757865840784</v>
      </c>
      <c r="AC24" s="35">
        <f t="shared" si="4"/>
        <v>1.9919757865840784</v>
      </c>
      <c r="AD24" s="35">
        <f t="shared" si="4"/>
        <v>1.9919757865840784</v>
      </c>
      <c r="AE24" s="35">
        <f t="shared" si="4"/>
        <v>1.9919757865840784</v>
      </c>
      <c r="AF24" s="35">
        <f t="shared" si="4"/>
        <v>1.9919757865840784</v>
      </c>
    </row>
    <row r="25" spans="1:32" x14ac:dyDescent="0.2">
      <c r="A25" s="2" t="s">
        <v>42</v>
      </c>
      <c r="C25" s="20" t="s">
        <v>43</v>
      </c>
      <c r="D25" s="21" t="s">
        <v>44</v>
      </c>
      <c r="E25" s="22" t="s">
        <v>29</v>
      </c>
      <c r="F25" s="30"/>
      <c r="G25" s="31"/>
      <c r="H25" s="30"/>
      <c r="I25" s="31"/>
      <c r="J25" s="31"/>
      <c r="K25" s="31"/>
      <c r="L25" s="31"/>
      <c r="M25" s="31"/>
      <c r="N25" s="30">
        <v>0</v>
      </c>
      <c r="O25" s="30">
        <v>852.9</v>
      </c>
      <c r="P25" s="30"/>
      <c r="Q25" s="30"/>
      <c r="R25" s="30"/>
      <c r="S25" s="30">
        <v>0</v>
      </c>
      <c r="Y25" s="30">
        <v>0</v>
      </c>
      <c r="Z25" s="30">
        <v>0</v>
      </c>
      <c r="AA25" s="30">
        <f>Z25</f>
        <v>0</v>
      </c>
      <c r="AB25" s="30">
        <f>Z25</f>
        <v>0</v>
      </c>
      <c r="AC25" s="30">
        <f>Z25</f>
        <v>0</v>
      </c>
      <c r="AD25" s="30">
        <f>Z25</f>
        <v>0</v>
      </c>
      <c r="AE25" s="30">
        <f>Z25</f>
        <v>0</v>
      </c>
      <c r="AF25" s="30">
        <f>Z25</f>
        <v>0</v>
      </c>
    </row>
    <row r="26" spans="1:32" x14ac:dyDescent="0.2">
      <c r="A26" s="2" t="s">
        <v>45</v>
      </c>
      <c r="C26" s="20" t="s">
        <v>46</v>
      </c>
      <c r="D26" s="21" t="s">
        <v>47</v>
      </c>
      <c r="E26" s="22" t="s">
        <v>29</v>
      </c>
      <c r="F26" s="23">
        <f>F27+F29</f>
        <v>955.6</v>
      </c>
      <c r="G26" s="24"/>
      <c r="H26" s="23">
        <f>H27+H29</f>
        <v>955.6</v>
      </c>
      <c r="I26" s="24"/>
      <c r="J26" s="24"/>
      <c r="K26" s="24"/>
      <c r="L26" s="24"/>
      <c r="M26" s="24"/>
      <c r="N26" s="23">
        <f t="shared" ref="N26:S26" si="5">N27+N29</f>
        <v>1392.4</v>
      </c>
      <c r="O26" s="23">
        <f t="shared" si="5"/>
        <v>1471</v>
      </c>
      <c r="P26" s="23">
        <f t="shared" si="5"/>
        <v>1471</v>
      </c>
      <c r="Q26" s="23">
        <f t="shared" si="5"/>
        <v>1471</v>
      </c>
      <c r="R26" s="23">
        <f t="shared" si="5"/>
        <v>1471</v>
      </c>
      <c r="S26" s="23">
        <f t="shared" si="5"/>
        <v>1392.4</v>
      </c>
      <c r="Y26" s="23">
        <f>Y27+Y29</f>
        <v>1392.4</v>
      </c>
      <c r="Z26" s="23">
        <f t="shared" ref="Z26:AF26" si="6">Z27+Z29</f>
        <v>1392.4</v>
      </c>
      <c r="AA26" s="23">
        <f t="shared" si="6"/>
        <v>1392.4</v>
      </c>
      <c r="AB26" s="23">
        <f t="shared" si="6"/>
        <v>1392.4</v>
      </c>
      <c r="AC26" s="23">
        <f t="shared" si="6"/>
        <v>1392.4</v>
      </c>
      <c r="AD26" s="23">
        <f t="shared" si="6"/>
        <v>1392.4</v>
      </c>
      <c r="AE26" s="23">
        <f t="shared" si="6"/>
        <v>1392.4</v>
      </c>
      <c r="AF26" s="23">
        <f t="shared" si="6"/>
        <v>1392.4</v>
      </c>
    </row>
    <row r="27" spans="1:32" ht="15.75" customHeight="1" x14ac:dyDescent="0.2">
      <c r="A27" s="2" t="s">
        <v>48</v>
      </c>
      <c r="C27" s="20" t="s">
        <v>49</v>
      </c>
      <c r="D27" s="21" t="s">
        <v>50</v>
      </c>
      <c r="E27" s="22" t="s">
        <v>29</v>
      </c>
      <c r="F27" s="30">
        <v>151</v>
      </c>
      <c r="G27" s="31"/>
      <c r="H27" s="30">
        <v>151</v>
      </c>
      <c r="I27" s="31"/>
      <c r="J27" s="31"/>
      <c r="K27" s="31"/>
      <c r="L27" s="31"/>
      <c r="M27" s="31"/>
      <c r="N27" s="30">
        <v>207.1</v>
      </c>
      <c r="O27" s="30">
        <v>666</v>
      </c>
      <c r="P27" s="30">
        <v>666</v>
      </c>
      <c r="Q27" s="30">
        <v>666</v>
      </c>
      <c r="R27" s="30">
        <v>666</v>
      </c>
      <c r="S27" s="30">
        <f>N27</f>
        <v>207.1</v>
      </c>
      <c r="T27" s="30">
        <v>666</v>
      </c>
      <c r="U27" s="30">
        <v>666</v>
      </c>
      <c r="V27" s="30">
        <v>666</v>
      </c>
      <c r="W27" s="30">
        <v>666</v>
      </c>
      <c r="X27" s="30">
        <v>666</v>
      </c>
      <c r="Y27" s="30">
        <f>N27</f>
        <v>207.1</v>
      </c>
      <c r="Z27" s="30">
        <f>N27</f>
        <v>207.1</v>
      </c>
      <c r="AA27" s="30">
        <f>Z27</f>
        <v>207.1</v>
      </c>
      <c r="AB27" s="30">
        <f>AA27</f>
        <v>207.1</v>
      </c>
      <c r="AC27" s="30">
        <f>AA27</f>
        <v>207.1</v>
      </c>
      <c r="AD27" s="30">
        <f>AA27</f>
        <v>207.1</v>
      </c>
      <c r="AE27" s="30">
        <f>AA27</f>
        <v>207.1</v>
      </c>
      <c r="AF27" s="30">
        <f>AA27</f>
        <v>207.1</v>
      </c>
    </row>
    <row r="28" spans="1:32" x14ac:dyDescent="0.2">
      <c r="A28" s="2" t="s">
        <v>51</v>
      </c>
      <c r="C28" s="32"/>
      <c r="D28" s="33" t="s">
        <v>52</v>
      </c>
      <c r="E28" s="34" t="s">
        <v>41</v>
      </c>
      <c r="F28" s="35">
        <f>IF((F26)&lt;&gt;0,F27/(F26)*100,"-")</f>
        <v>15.801590623691922</v>
      </c>
      <c r="G28" s="36"/>
      <c r="H28" s="35">
        <f>IF((H26)&lt;&gt;0,H27/(H26)*100,"-")</f>
        <v>15.801590623691922</v>
      </c>
      <c r="I28" s="36"/>
      <c r="J28" s="36"/>
      <c r="K28" s="36"/>
      <c r="L28" s="36"/>
      <c r="M28" s="36"/>
      <c r="N28" s="35">
        <f t="shared" ref="N28:S28" si="7">IF((N26)&lt;&gt;0,N27/(N26)*100,"-")</f>
        <v>14.873599540361965</v>
      </c>
      <c r="O28" s="35">
        <f t="shared" si="7"/>
        <v>45.275322909585313</v>
      </c>
      <c r="P28" s="35">
        <f t="shared" si="7"/>
        <v>45.275322909585313</v>
      </c>
      <c r="Q28" s="35">
        <f t="shared" si="7"/>
        <v>45.275322909585313</v>
      </c>
      <c r="R28" s="35">
        <f t="shared" si="7"/>
        <v>45.275322909585313</v>
      </c>
      <c r="S28" s="35">
        <f t="shared" si="7"/>
        <v>14.873599540361965</v>
      </c>
      <c r="T28" s="37"/>
      <c r="U28" s="37"/>
      <c r="V28" s="37"/>
      <c r="W28" s="37"/>
      <c r="X28" s="37"/>
      <c r="Y28" s="35">
        <f>IF((Y26)&lt;&gt;0,Y27/(Y26)*100,"-")</f>
        <v>14.873599540361965</v>
      </c>
      <c r="Z28" s="35">
        <f t="shared" ref="Z28:AF28" si="8">IF((Z26)&lt;&gt;0,Z27/(Z26)*100,"-")</f>
        <v>14.873599540361965</v>
      </c>
      <c r="AA28" s="35">
        <f t="shared" si="8"/>
        <v>14.873599540361965</v>
      </c>
      <c r="AB28" s="35">
        <f t="shared" si="8"/>
        <v>14.873599540361965</v>
      </c>
      <c r="AC28" s="35">
        <f t="shared" si="8"/>
        <v>14.873599540361965</v>
      </c>
      <c r="AD28" s="35">
        <f t="shared" si="8"/>
        <v>14.873599540361965</v>
      </c>
      <c r="AE28" s="35">
        <f t="shared" si="8"/>
        <v>14.873599540361965</v>
      </c>
      <c r="AF28" s="35">
        <f t="shared" si="8"/>
        <v>14.873599540361965</v>
      </c>
    </row>
    <row r="29" spans="1:32" ht="17.100000000000001" customHeight="1" x14ac:dyDescent="0.2">
      <c r="A29" s="38" t="s">
        <v>53</v>
      </c>
      <c r="C29" s="20" t="s">
        <v>54</v>
      </c>
      <c r="D29" s="21" t="s">
        <v>55</v>
      </c>
      <c r="E29" s="22" t="s">
        <v>29</v>
      </c>
      <c r="F29" s="23">
        <f>SUM(F30:F32)</f>
        <v>804.6</v>
      </c>
      <c r="G29" s="23"/>
      <c r="H29" s="23">
        <f>SUM(H30:H32)</f>
        <v>804.6</v>
      </c>
      <c r="I29" s="23"/>
      <c r="J29" s="23"/>
      <c r="K29" s="23"/>
      <c r="L29" s="23"/>
      <c r="M29" s="23"/>
      <c r="N29" s="23">
        <f t="shared" ref="N29:S29" si="9">SUM(N30:N32)</f>
        <v>1185.3000000000002</v>
      </c>
      <c r="O29" s="23">
        <f t="shared" si="9"/>
        <v>805</v>
      </c>
      <c r="P29" s="23">
        <f t="shared" si="9"/>
        <v>805</v>
      </c>
      <c r="Q29" s="23">
        <f t="shared" si="9"/>
        <v>805</v>
      </c>
      <c r="R29" s="23">
        <f t="shared" si="9"/>
        <v>805</v>
      </c>
      <c r="S29" s="23">
        <f t="shared" si="9"/>
        <v>1185.3000000000002</v>
      </c>
      <c r="T29" s="39"/>
      <c r="U29" s="37"/>
      <c r="V29" s="37"/>
      <c r="W29" s="37"/>
      <c r="X29" s="37"/>
      <c r="Y29" s="23">
        <f>SUM(Y30:Y32)</f>
        <v>1185.3000000000002</v>
      </c>
      <c r="Z29" s="23">
        <f t="shared" ref="Z29:AF29" si="10">SUM(Z30:Z32)</f>
        <v>1185.3000000000002</v>
      </c>
      <c r="AA29" s="23">
        <f t="shared" si="10"/>
        <v>1185.3000000000002</v>
      </c>
      <c r="AB29" s="23">
        <f t="shared" si="10"/>
        <v>1185.3000000000002</v>
      </c>
      <c r="AC29" s="23">
        <f t="shared" si="10"/>
        <v>1185.3000000000002</v>
      </c>
      <c r="AD29" s="23">
        <f t="shared" si="10"/>
        <v>1185.3000000000002</v>
      </c>
      <c r="AE29" s="23">
        <f t="shared" si="10"/>
        <v>1185.3000000000002</v>
      </c>
      <c r="AF29" s="23">
        <f t="shared" si="10"/>
        <v>1185.3000000000002</v>
      </c>
    </row>
    <row r="30" spans="1:32" ht="17.100000000000001" customHeight="1" x14ac:dyDescent="0.2">
      <c r="A30" s="2" t="s">
        <v>56</v>
      </c>
      <c r="C30" s="25"/>
      <c r="D30" s="40" t="s">
        <v>57</v>
      </c>
      <c r="E30" s="22" t="s">
        <v>29</v>
      </c>
      <c r="F30" s="41"/>
      <c r="G30" s="42"/>
      <c r="H30" s="41"/>
      <c r="I30" s="42"/>
      <c r="J30" s="42"/>
      <c r="K30" s="42"/>
      <c r="L30" s="42"/>
      <c r="M30" s="42"/>
      <c r="N30" s="41">
        <v>34</v>
      </c>
      <c r="O30" s="41"/>
      <c r="P30" s="41"/>
      <c r="Q30" s="41"/>
      <c r="R30" s="41"/>
      <c r="S30" s="41">
        <f>N30</f>
        <v>34</v>
      </c>
      <c r="T30" s="275" t="s">
        <v>58</v>
      </c>
      <c r="U30" s="276" t="s">
        <v>59</v>
      </c>
      <c r="V30" s="276"/>
      <c r="W30" s="276" t="s">
        <v>60</v>
      </c>
      <c r="X30" s="276"/>
      <c r="Y30" s="41">
        <f>N30</f>
        <v>34</v>
      </c>
      <c r="Z30" s="41">
        <f>N30</f>
        <v>34</v>
      </c>
      <c r="AA30" s="45">
        <f>Z30</f>
        <v>34</v>
      </c>
      <c r="AB30" s="45">
        <f>AA30</f>
        <v>34</v>
      </c>
      <c r="AC30" s="45">
        <f>AA30</f>
        <v>34</v>
      </c>
      <c r="AD30" s="45">
        <f>AA30</f>
        <v>34</v>
      </c>
      <c r="AE30" s="45">
        <f>AA30</f>
        <v>34</v>
      </c>
      <c r="AF30" s="45">
        <f>AA30</f>
        <v>34</v>
      </c>
    </row>
    <row r="31" spans="1:32" ht="17.100000000000001" customHeight="1" x14ac:dyDescent="0.2">
      <c r="C31" s="25"/>
      <c r="D31" s="40" t="s">
        <v>61</v>
      </c>
      <c r="E31" s="22" t="s">
        <v>29</v>
      </c>
      <c r="F31" s="41"/>
      <c r="G31" s="42"/>
      <c r="H31" s="41"/>
      <c r="I31" s="42"/>
      <c r="J31" s="42"/>
      <c r="K31" s="42"/>
      <c r="L31" s="42"/>
      <c r="M31" s="42"/>
      <c r="N31" s="41"/>
      <c r="O31" s="41"/>
      <c r="P31" s="41"/>
      <c r="Q31" s="41"/>
      <c r="R31" s="41"/>
      <c r="S31" s="41"/>
      <c r="T31" s="275"/>
      <c r="U31" s="276"/>
      <c r="V31" s="276"/>
      <c r="W31" s="276"/>
      <c r="X31" s="276"/>
      <c r="Y31" s="41"/>
      <c r="Z31" s="41"/>
      <c r="AA31" s="41"/>
      <c r="AB31" s="41"/>
      <c r="AC31" s="41"/>
      <c r="AD31" s="41"/>
      <c r="AE31" s="41"/>
      <c r="AF31" s="41"/>
    </row>
    <row r="32" spans="1:32" ht="17.100000000000001" customHeight="1" x14ac:dyDescent="0.2">
      <c r="A32" s="2" t="s">
        <v>62</v>
      </c>
      <c r="C32" s="25"/>
      <c r="D32" s="40" t="s">
        <v>63</v>
      </c>
      <c r="E32" s="22" t="s">
        <v>29</v>
      </c>
      <c r="F32" s="43">
        <f>SUM(F33:F35)</f>
        <v>804.6</v>
      </c>
      <c r="G32" s="43"/>
      <c r="H32" s="43">
        <f>SUM(H33:H35)</f>
        <v>804.6</v>
      </c>
      <c r="I32" s="43"/>
      <c r="J32" s="43"/>
      <c r="K32" s="43"/>
      <c r="L32" s="43"/>
      <c r="M32" s="43"/>
      <c r="N32" s="43">
        <f t="shared" ref="N32:S32" si="11">SUM(N33:N35)</f>
        <v>1151.3000000000002</v>
      </c>
      <c r="O32" s="43">
        <f t="shared" si="11"/>
        <v>805</v>
      </c>
      <c r="P32" s="43">
        <f t="shared" si="11"/>
        <v>805</v>
      </c>
      <c r="Q32" s="43">
        <f t="shared" si="11"/>
        <v>805</v>
      </c>
      <c r="R32" s="43">
        <f t="shared" si="11"/>
        <v>805</v>
      </c>
      <c r="S32" s="43">
        <f t="shared" si="11"/>
        <v>1151.3000000000002</v>
      </c>
      <c r="T32" s="275"/>
      <c r="U32" s="275" t="s">
        <v>64</v>
      </c>
      <c r="V32" s="275" t="s">
        <v>65</v>
      </c>
      <c r="W32" s="275" t="s">
        <v>64</v>
      </c>
      <c r="X32" s="275" t="s">
        <v>65</v>
      </c>
      <c r="Y32" s="43">
        <f>SUM(Y33:Y35)</f>
        <v>1151.3000000000002</v>
      </c>
      <c r="Z32" s="43">
        <f t="shared" ref="Z32:AF32" si="12">SUM(Z33:Z35)</f>
        <v>1151.3000000000002</v>
      </c>
      <c r="AA32" s="43">
        <f t="shared" si="12"/>
        <v>1151.3000000000002</v>
      </c>
      <c r="AB32" s="43">
        <f t="shared" si="12"/>
        <v>1151.3000000000002</v>
      </c>
      <c r="AC32" s="43">
        <f t="shared" si="12"/>
        <v>1151.3000000000002</v>
      </c>
      <c r="AD32" s="43">
        <f t="shared" si="12"/>
        <v>1151.3000000000002</v>
      </c>
      <c r="AE32" s="43">
        <f t="shared" si="12"/>
        <v>1151.3000000000002</v>
      </c>
      <c r="AF32" s="43">
        <f t="shared" si="12"/>
        <v>1151.3000000000002</v>
      </c>
    </row>
    <row r="33" spans="1:32" ht="15.75" customHeight="1" outlineLevel="1" x14ac:dyDescent="0.2">
      <c r="A33" s="2" t="s">
        <v>66</v>
      </c>
      <c r="C33" s="25"/>
      <c r="D33" s="44" t="s">
        <v>67</v>
      </c>
      <c r="E33" s="22" t="s">
        <v>29</v>
      </c>
      <c r="F33" s="45">
        <v>659</v>
      </c>
      <c r="G33" s="46"/>
      <c r="H33" s="45">
        <v>659</v>
      </c>
      <c r="I33" s="46"/>
      <c r="J33" s="46"/>
      <c r="K33" s="47"/>
      <c r="L33" s="46"/>
      <c r="M33" s="46"/>
      <c r="N33" s="45">
        <v>411.1</v>
      </c>
      <c r="O33" s="45">
        <v>659</v>
      </c>
      <c r="P33" s="45">
        <v>659</v>
      </c>
      <c r="Q33" s="45">
        <v>659</v>
      </c>
      <c r="R33" s="45">
        <v>659</v>
      </c>
      <c r="S33" s="45">
        <f>N33</f>
        <v>411.1</v>
      </c>
      <c r="T33" s="275"/>
      <c r="U33" s="275"/>
      <c r="V33" s="275"/>
      <c r="W33" s="275"/>
      <c r="X33" s="275"/>
      <c r="Y33" s="45">
        <f>N33</f>
        <v>411.1</v>
      </c>
      <c r="Z33" s="45">
        <f>N33</f>
        <v>411.1</v>
      </c>
      <c r="AA33" s="45">
        <f>Z33</f>
        <v>411.1</v>
      </c>
      <c r="AB33" s="45">
        <f>Z33</f>
        <v>411.1</v>
      </c>
      <c r="AC33" s="45">
        <f>Z33</f>
        <v>411.1</v>
      </c>
      <c r="AD33" s="45">
        <f>AA33</f>
        <v>411.1</v>
      </c>
      <c r="AE33" s="45">
        <f>AA33</f>
        <v>411.1</v>
      </c>
      <c r="AF33" s="45">
        <f>AA33</f>
        <v>411.1</v>
      </c>
    </row>
    <row r="34" spans="1:32" ht="15.75" customHeight="1" outlineLevel="1" x14ac:dyDescent="0.2">
      <c r="A34" s="2" t="s">
        <v>68</v>
      </c>
      <c r="C34" s="25"/>
      <c r="D34" s="44" t="s">
        <v>69</v>
      </c>
      <c r="E34" s="22" t="s">
        <v>29</v>
      </c>
      <c r="F34" s="45">
        <v>145.6</v>
      </c>
      <c r="G34" s="46"/>
      <c r="H34" s="45">
        <v>145.6</v>
      </c>
      <c r="I34" s="46"/>
      <c r="J34" s="46"/>
      <c r="K34" s="47"/>
      <c r="L34" s="46"/>
      <c r="M34" s="46"/>
      <c r="N34" s="45">
        <v>740.2</v>
      </c>
      <c r="O34" s="45">
        <v>146</v>
      </c>
      <c r="P34" s="45">
        <v>146</v>
      </c>
      <c r="Q34" s="45">
        <v>146</v>
      </c>
      <c r="R34" s="45">
        <v>146</v>
      </c>
      <c r="S34" s="45">
        <f>N34</f>
        <v>740.2</v>
      </c>
      <c r="T34" s="275"/>
      <c r="U34" s="275"/>
      <c r="V34" s="275"/>
      <c r="W34" s="275"/>
      <c r="X34" s="275"/>
      <c r="Y34" s="45">
        <f>N34</f>
        <v>740.2</v>
      </c>
      <c r="Z34" s="45">
        <f>N34</f>
        <v>740.2</v>
      </c>
      <c r="AA34" s="45">
        <f>Z34</f>
        <v>740.2</v>
      </c>
      <c r="AB34" s="45">
        <f>Z34</f>
        <v>740.2</v>
      </c>
      <c r="AC34" s="45">
        <f>Z34</f>
        <v>740.2</v>
      </c>
      <c r="AD34" s="45">
        <f>AA34</f>
        <v>740.2</v>
      </c>
      <c r="AE34" s="45">
        <f>AA34</f>
        <v>740.2</v>
      </c>
      <c r="AF34" s="45">
        <f>AA34</f>
        <v>740.2</v>
      </c>
    </row>
    <row r="35" spans="1:32" ht="15.75" customHeight="1" outlineLevel="1" x14ac:dyDescent="0.2">
      <c r="A35" s="2" t="s">
        <v>70</v>
      </c>
      <c r="C35" s="25"/>
      <c r="D35" s="44" t="s">
        <v>71</v>
      </c>
      <c r="E35" s="22" t="s">
        <v>29</v>
      </c>
      <c r="F35" s="45"/>
      <c r="G35" s="46"/>
      <c r="H35" s="45"/>
      <c r="I35" s="46"/>
      <c r="J35" s="46"/>
      <c r="K35" s="47"/>
      <c r="L35" s="46"/>
      <c r="M35" s="46"/>
      <c r="N35" s="45">
        <v>0</v>
      </c>
      <c r="O35" s="45"/>
      <c r="P35" s="45"/>
      <c r="Q35" s="45"/>
      <c r="R35" s="45"/>
      <c r="S35" s="45">
        <v>0</v>
      </c>
      <c r="T35" s="275"/>
      <c r="U35" s="275"/>
      <c r="V35" s="275"/>
      <c r="W35" s="275"/>
      <c r="X35" s="275"/>
      <c r="Y35" s="45">
        <v>0</v>
      </c>
      <c r="Z35" s="45">
        <v>0</v>
      </c>
      <c r="AA35" s="45">
        <f>Z35</f>
        <v>0</v>
      </c>
      <c r="AB35" s="45">
        <f>Z35</f>
        <v>0</v>
      </c>
      <c r="AC35" s="45">
        <f>Z35</f>
        <v>0</v>
      </c>
      <c r="AD35" s="45">
        <f>Z35</f>
        <v>0</v>
      </c>
      <c r="AE35" s="45">
        <f>Z35</f>
        <v>0</v>
      </c>
      <c r="AF35" s="45">
        <f>Z35</f>
        <v>0</v>
      </c>
    </row>
    <row r="36" spans="1:32" ht="17.25" customHeight="1" x14ac:dyDescent="0.2">
      <c r="A36" s="2" t="s">
        <v>72</v>
      </c>
      <c r="C36" s="14" t="s">
        <v>73</v>
      </c>
      <c r="D36" s="15"/>
      <c r="E36" s="15"/>
      <c r="F36" s="16"/>
      <c r="G36" s="17"/>
      <c r="H36" s="16"/>
      <c r="I36" s="17"/>
      <c r="J36" s="17"/>
      <c r="K36" s="17"/>
      <c r="L36" s="17"/>
      <c r="M36" s="17"/>
      <c r="N36" s="19"/>
      <c r="O36" s="18"/>
      <c r="P36" s="17"/>
      <c r="Q36" s="17"/>
      <c r="R36" s="17"/>
      <c r="S36" s="48"/>
      <c r="T36" s="49"/>
      <c r="U36" s="49"/>
      <c r="V36" s="49"/>
      <c r="W36" s="49"/>
      <c r="X36" s="49"/>
      <c r="Y36" s="48"/>
      <c r="Z36" s="48"/>
      <c r="AA36" s="48"/>
      <c r="AB36" s="48"/>
      <c r="AC36" s="48"/>
      <c r="AD36" s="48"/>
      <c r="AE36" s="48"/>
      <c r="AF36" s="48"/>
    </row>
    <row r="37" spans="1:32" x14ac:dyDescent="0.2">
      <c r="A37" s="2" t="s">
        <v>74</v>
      </c>
      <c r="C37" s="25">
        <v>1</v>
      </c>
      <c r="D37" s="50" t="s">
        <v>75</v>
      </c>
      <c r="E37" s="25" t="s">
        <v>76</v>
      </c>
      <c r="F37" s="51">
        <f>(F79*F144+F80*F145+F86*F150+F92*F154+F96*F161+F100*F158+F105*F168+F106*F170+F107*F172+F111*F164)/1000</f>
        <v>394.61619999999999</v>
      </c>
      <c r="G37" s="52">
        <f>F37/F$29</f>
        <v>0.49045016157096694</v>
      </c>
      <c r="H37" s="51">
        <f>(H79*H144+H80*H145+H86*H150+H92*H154+H96*H161+H100*H158+H105*H168+H106*H170+H107*H172+H111*H164)/1000</f>
        <v>364.07357999999999</v>
      </c>
      <c r="I37" s="52">
        <f>H37/H$29</f>
        <v>0.45249015659955255</v>
      </c>
      <c r="J37" s="51">
        <f>H37-F37</f>
        <v>-30.542619999999999</v>
      </c>
      <c r="K37" s="51">
        <f>G37*H$29</f>
        <v>394.61619999999999</v>
      </c>
      <c r="L37" s="53">
        <f>H37-K37</f>
        <v>-30.542619999999999</v>
      </c>
      <c r="M37" s="52">
        <f>I37-G37</f>
        <v>-3.7960004971414385E-2</v>
      </c>
      <c r="N37" s="51">
        <f t="shared" ref="N37:S37" si="13">(N79*N144+N80*N145+N86*N150+N92*N154+N96*N161+N100*N158+N105*N168+N106*N170+N107*N172+N111*N164)/1000</f>
        <v>747.02771513120422</v>
      </c>
      <c r="O37" s="51">
        <f t="shared" si="13"/>
        <v>0</v>
      </c>
      <c r="P37" s="51">
        <f t="shared" si="13"/>
        <v>0</v>
      </c>
      <c r="Q37" s="51">
        <f t="shared" si="13"/>
        <v>0</v>
      </c>
      <c r="R37" s="51">
        <f t="shared" si="13"/>
        <v>0</v>
      </c>
      <c r="S37" s="51">
        <f t="shared" si="13"/>
        <v>747.02771513120422</v>
      </c>
      <c r="T37" s="54">
        <f>IF($S$15&lt;&gt;0,ROUND((S37-O37),1),"0,0")</f>
        <v>747</v>
      </c>
      <c r="U37" s="55">
        <f t="shared" ref="U37:U47" si="14">IF(O$49&lt;&gt;0,O37/O$49*100,"-")</f>
        <v>0</v>
      </c>
      <c r="V37" s="55">
        <f t="shared" ref="V37:V47" si="15">IF(S$49&lt;&gt;0,S37/S$49*100,"-")</f>
        <v>33.761675598544919</v>
      </c>
      <c r="W37" s="55">
        <f t="shared" ref="W37:W49" si="16">IF($N37&lt;&gt;0,O37/$N37*100,"-")</f>
        <v>0</v>
      </c>
      <c r="X37" s="55">
        <f t="shared" ref="X37:X49" si="17">IF($N37&lt;&gt;0,S37/$N37*100,"-")</f>
        <v>100</v>
      </c>
      <c r="Y37" s="51">
        <f>(Y79*Y144+Y80*Y145+Y86*Y150+Y92*Y154+Y96*Y161+Y100*Y158+Y105*Y168+Y106*Y170+Y107*Y172+Y111*Y164)/1000</f>
        <v>927.70389113829697</v>
      </c>
      <c r="Z37" s="51">
        <f t="shared" ref="Z37:AF37" si="18">(Z79*Z144+Z80*Z145+Z86*Z150+Z92*Z154+Z96*Z161+Z100*Z158+Z105*Z168+Z106*Z170+Z107*Z172+Z111*Z164)/1000</f>
        <v>1058.0381535302697</v>
      </c>
      <c r="AA37" s="51">
        <f t="shared" si="18"/>
        <v>1207.3227054340819</v>
      </c>
      <c r="AB37" s="51">
        <f t="shared" si="18"/>
        <v>1378.3593004869165</v>
      </c>
      <c r="AC37" s="51">
        <f t="shared" si="18"/>
        <v>1574.3671816658409</v>
      </c>
      <c r="AD37" s="51">
        <f t="shared" si="18"/>
        <v>1799.0455160768051</v>
      </c>
      <c r="AE37" s="51">
        <f t="shared" si="18"/>
        <v>2721.2024941955201</v>
      </c>
      <c r="AF37" s="51">
        <f t="shared" si="18"/>
        <v>3457.8176909480489</v>
      </c>
    </row>
    <row r="38" spans="1:32" x14ac:dyDescent="0.2">
      <c r="A38" s="2" t="s">
        <v>77</v>
      </c>
      <c r="C38" s="25" t="s">
        <v>37</v>
      </c>
      <c r="D38" s="50" t="s">
        <v>78</v>
      </c>
      <c r="E38" s="25" t="s">
        <v>76</v>
      </c>
      <c r="F38" s="51">
        <f>(F118*F168+F120*F169+F122*F170+F124*F171+F126*F172)/1000</f>
        <v>126.60516</v>
      </c>
      <c r="G38" s="52">
        <f t="shared" ref="G38:I47" si="19">F38/F$29</f>
        <v>0.15735167785234899</v>
      </c>
      <c r="H38" s="51">
        <f>(H118*H168+H120*H169+H122*H170+H124*H172)/1000</f>
        <v>126.60516</v>
      </c>
      <c r="I38" s="52">
        <f t="shared" si="19"/>
        <v>0.15735167785234899</v>
      </c>
      <c r="J38" s="51">
        <f t="shared" ref="J38:J48" si="20">H38-F38</f>
        <v>0</v>
      </c>
      <c r="K38" s="51">
        <f t="shared" ref="K38:K48" si="21">G38*H$29</f>
        <v>126.60516</v>
      </c>
      <c r="L38" s="56">
        <f t="shared" ref="L38:L48" si="22">H38-K38</f>
        <v>0</v>
      </c>
      <c r="M38" s="52">
        <f t="shared" ref="M38:M48" si="23">I38-G38</f>
        <v>0</v>
      </c>
      <c r="N38" s="51">
        <f t="shared" ref="N38:S38" si="24">(N118*N168+N120*N169+N122*N170+N124*N172)/1000</f>
        <v>221.89089293999999</v>
      </c>
      <c r="O38" s="51">
        <f t="shared" si="24"/>
        <v>0</v>
      </c>
      <c r="P38" s="51">
        <f t="shared" si="24"/>
        <v>0</v>
      </c>
      <c r="Q38" s="51">
        <f t="shared" si="24"/>
        <v>0</v>
      </c>
      <c r="R38" s="51">
        <f t="shared" si="24"/>
        <v>0</v>
      </c>
      <c r="S38" s="51">
        <f t="shared" si="24"/>
        <v>221.89089293999999</v>
      </c>
      <c r="T38" s="57">
        <f t="shared" ref="T38:T49" si="25">S38-O38</f>
        <v>221.89089293999999</v>
      </c>
      <c r="U38" s="55">
        <f t="shared" si="14"/>
        <v>0</v>
      </c>
      <c r="V38" s="55">
        <f t="shared" si="15"/>
        <v>10.02828702867602</v>
      </c>
      <c r="W38" s="55">
        <f t="shared" si="16"/>
        <v>0</v>
      </c>
      <c r="X38" s="55">
        <f t="shared" si="17"/>
        <v>100</v>
      </c>
      <c r="Y38" s="51">
        <f>(Y118*Y168+Y120*Y169+Y122*Y170+Y124*Y172)/1000</f>
        <v>217.25234295749999</v>
      </c>
      <c r="Z38" s="51">
        <f t="shared" ref="Z38:AF38" si="26">(Z118*Z168+Z120*Z169+Z122*Z170+Z124*Z172)/1000</f>
        <v>151.79659965987503</v>
      </c>
      <c r="AA38" s="51">
        <f t="shared" si="26"/>
        <v>174.56608960885626</v>
      </c>
      <c r="AB38" s="51">
        <f t="shared" si="26"/>
        <v>200.75100305018466</v>
      </c>
      <c r="AC38" s="51">
        <f t="shared" si="26"/>
        <v>230.86365350771234</v>
      </c>
      <c r="AD38" s="51">
        <f t="shared" si="26"/>
        <v>265.49320153386918</v>
      </c>
      <c r="AE38" s="51">
        <f t="shared" si="26"/>
        <v>408.85953036215852</v>
      </c>
      <c r="AF38" s="51">
        <f t="shared" si="26"/>
        <v>523.34019886356305</v>
      </c>
    </row>
    <row r="39" spans="1:32" x14ac:dyDescent="0.2">
      <c r="A39" s="2" t="s">
        <v>79</v>
      </c>
      <c r="C39" s="25" t="s">
        <v>43</v>
      </c>
      <c r="D39" s="58" t="s">
        <v>80</v>
      </c>
      <c r="E39" s="25" t="s">
        <v>76</v>
      </c>
      <c r="F39" s="51">
        <f>(F130*F174+F132*F175)/1000</f>
        <v>7.9366872000000006</v>
      </c>
      <c r="G39" s="52">
        <f t="shared" si="19"/>
        <v>9.8641401938851601E-3</v>
      </c>
      <c r="H39" s="51">
        <f>(H130*H174+H132*H175)/1000</f>
        <v>6.8906136000000009</v>
      </c>
      <c r="I39" s="52">
        <f t="shared" si="19"/>
        <v>8.564023862788964E-3</v>
      </c>
      <c r="J39" s="51">
        <f t="shared" si="20"/>
        <v>-1.0460735999999997</v>
      </c>
      <c r="K39" s="51">
        <f t="shared" si="21"/>
        <v>7.9366871999999997</v>
      </c>
      <c r="L39" s="56">
        <f t="shared" si="22"/>
        <v>-1.0460735999999988</v>
      </c>
      <c r="M39" s="52">
        <f t="shared" si="23"/>
        <v>-1.3001163310961961E-3</v>
      </c>
      <c r="N39" s="51">
        <f t="shared" ref="N39:S39" si="27">(N130*N174+N132*N175)/1000</f>
        <v>18.92727575</v>
      </c>
      <c r="O39" s="51">
        <f t="shared" si="27"/>
        <v>0</v>
      </c>
      <c r="P39" s="51">
        <f t="shared" si="27"/>
        <v>0</v>
      </c>
      <c r="Q39" s="51">
        <f t="shared" si="27"/>
        <v>0</v>
      </c>
      <c r="R39" s="51">
        <f t="shared" si="27"/>
        <v>0</v>
      </c>
      <c r="S39" s="51">
        <f t="shared" si="27"/>
        <v>18.92727575</v>
      </c>
      <c r="T39" s="57">
        <f t="shared" si="25"/>
        <v>18.92727575</v>
      </c>
      <c r="U39" s="55">
        <f t="shared" si="14"/>
        <v>0</v>
      </c>
      <c r="V39" s="55">
        <f t="shared" si="15"/>
        <v>0.85541209635504933</v>
      </c>
      <c r="W39" s="55">
        <f t="shared" si="16"/>
        <v>0</v>
      </c>
      <c r="X39" s="55">
        <f t="shared" si="17"/>
        <v>100</v>
      </c>
      <c r="Y39" s="51">
        <f>(Y130*Y174+Y132*Y175)/1000</f>
        <v>19.873639537500004</v>
      </c>
      <c r="Z39" s="51">
        <f t="shared" ref="Z39:AF39" si="28">(Z130*Z174+Z132*Z175)/1000</f>
        <v>28.324989000000002</v>
      </c>
      <c r="AA39" s="51">
        <f t="shared" si="28"/>
        <v>31.723987680000004</v>
      </c>
      <c r="AB39" s="51">
        <f t="shared" si="28"/>
        <v>34.832938472640009</v>
      </c>
      <c r="AC39" s="51">
        <f t="shared" si="28"/>
        <v>38.246566442958731</v>
      </c>
      <c r="AD39" s="51">
        <f t="shared" si="28"/>
        <v>41.994729954368687</v>
      </c>
      <c r="AE39" s="51">
        <f t="shared" si="28"/>
        <v>57.532780037485111</v>
      </c>
      <c r="AF39" s="51">
        <f t="shared" si="28"/>
        <v>68.464008244607271</v>
      </c>
    </row>
    <row r="40" spans="1:32" x14ac:dyDescent="0.2">
      <c r="A40" s="2" t="s">
        <v>81</v>
      </c>
      <c r="C40" s="25" t="s">
        <v>46</v>
      </c>
      <c r="D40" s="50" t="s">
        <v>82</v>
      </c>
      <c r="E40" s="25" t="s">
        <v>76</v>
      </c>
      <c r="F40" s="51">
        <f>(F136*F177+F138*F178+F140*F179)/1000</f>
        <v>0</v>
      </c>
      <c r="G40" s="52">
        <f t="shared" si="19"/>
        <v>0</v>
      </c>
      <c r="H40" s="51">
        <f>(H136*H177+H138*H178+H140*H179)/1000</f>
        <v>0</v>
      </c>
      <c r="I40" s="52">
        <f t="shared" si="19"/>
        <v>0</v>
      </c>
      <c r="J40" s="51">
        <f t="shared" si="20"/>
        <v>0</v>
      </c>
      <c r="K40" s="51">
        <f t="shared" si="21"/>
        <v>0</v>
      </c>
      <c r="L40" s="56">
        <f t="shared" si="22"/>
        <v>0</v>
      </c>
      <c r="M40" s="52">
        <f t="shared" si="23"/>
        <v>0</v>
      </c>
      <c r="N40" s="51">
        <f t="shared" ref="N40:S40" si="29">(N136*N177+N138*N178+N140*N179)/1000</f>
        <v>0</v>
      </c>
      <c r="O40" s="51">
        <f t="shared" si="29"/>
        <v>0</v>
      </c>
      <c r="P40" s="51">
        <f t="shared" si="29"/>
        <v>0</v>
      </c>
      <c r="Q40" s="51">
        <f t="shared" si="29"/>
        <v>0</v>
      </c>
      <c r="R40" s="51">
        <f t="shared" si="29"/>
        <v>0</v>
      </c>
      <c r="S40" s="51">
        <f t="shared" si="29"/>
        <v>0</v>
      </c>
      <c r="T40" s="57">
        <f t="shared" si="25"/>
        <v>0</v>
      </c>
      <c r="U40" s="55">
        <f t="shared" si="14"/>
        <v>0</v>
      </c>
      <c r="V40" s="55">
        <f t="shared" si="15"/>
        <v>0</v>
      </c>
      <c r="W40" s="55" t="str">
        <f t="shared" si="16"/>
        <v>-</v>
      </c>
      <c r="X40" s="55" t="str">
        <f t="shared" si="17"/>
        <v>-</v>
      </c>
      <c r="Y40" s="51">
        <f>(Y136*Y177+Y138*Y178+Y140*Y179)/1000</f>
        <v>0</v>
      </c>
      <c r="Z40" s="51">
        <f t="shared" ref="Z40:AF40" si="30">(Z136*Z177+Z138*Z178+Z140*Z179)/1000</f>
        <v>48.720880000000008</v>
      </c>
      <c r="AA40" s="51">
        <f t="shared" si="30"/>
        <v>52.033899840000011</v>
      </c>
      <c r="AB40" s="51">
        <f t="shared" si="30"/>
        <v>54.843730431360015</v>
      </c>
      <c r="AC40" s="51">
        <f t="shared" si="30"/>
        <v>57.805291874653449</v>
      </c>
      <c r="AD40" s="51">
        <f t="shared" si="30"/>
        <v>60.926777635884747</v>
      </c>
      <c r="AE40" s="51">
        <f t="shared" si="30"/>
        <v>73.721400939420533</v>
      </c>
      <c r="AF40" s="51">
        <f t="shared" si="30"/>
        <v>84.042397070939415</v>
      </c>
    </row>
    <row r="41" spans="1:32" x14ac:dyDescent="0.2">
      <c r="A41" s="2" t="s">
        <v>83</v>
      </c>
      <c r="C41" s="25" t="s">
        <v>49</v>
      </c>
      <c r="D41" s="58" t="s">
        <v>84</v>
      </c>
      <c r="E41" s="25" t="s">
        <v>76</v>
      </c>
      <c r="F41" s="59">
        <v>62.5</v>
      </c>
      <c r="G41" s="52">
        <f t="shared" si="19"/>
        <v>7.7678349490430024E-2</v>
      </c>
      <c r="H41" s="59">
        <v>62.5</v>
      </c>
      <c r="I41" s="52">
        <f t="shared" si="19"/>
        <v>7.7678349490430024E-2</v>
      </c>
      <c r="J41" s="51">
        <f t="shared" si="20"/>
        <v>0</v>
      </c>
      <c r="K41" s="51">
        <f t="shared" si="21"/>
        <v>62.5</v>
      </c>
      <c r="L41" s="56">
        <f t="shared" si="22"/>
        <v>0</v>
      </c>
      <c r="M41" s="52">
        <f t="shared" si="23"/>
        <v>0</v>
      </c>
      <c r="N41" s="59">
        <v>0</v>
      </c>
      <c r="O41" s="59">
        <v>51.7</v>
      </c>
      <c r="P41" s="60">
        <v>51.7</v>
      </c>
      <c r="Q41" s="60">
        <v>51.7</v>
      </c>
      <c r="R41" s="60">
        <v>51.7</v>
      </c>
      <c r="S41" s="59">
        <f>N41</f>
        <v>0</v>
      </c>
      <c r="T41" s="57">
        <f t="shared" si="25"/>
        <v>-51.7</v>
      </c>
      <c r="U41" s="55">
        <f t="shared" si="14"/>
        <v>4.2770042770042771</v>
      </c>
      <c r="V41" s="55">
        <f t="shared" si="15"/>
        <v>0</v>
      </c>
      <c r="W41" s="55" t="str">
        <f t="shared" si="16"/>
        <v>-</v>
      </c>
      <c r="X41" s="55" t="str">
        <f t="shared" si="17"/>
        <v>-</v>
      </c>
      <c r="Y41" s="60">
        <f>N41</f>
        <v>0</v>
      </c>
      <c r="Z41" s="60"/>
      <c r="AA41" s="60"/>
      <c r="AB41" s="60"/>
      <c r="AC41" s="60"/>
      <c r="AD41" s="60"/>
      <c r="AE41" s="60"/>
      <c r="AF41" s="60"/>
    </row>
    <row r="42" spans="1:32" x14ac:dyDescent="0.2">
      <c r="A42" s="2" t="s">
        <v>85</v>
      </c>
      <c r="C42" s="25" t="s">
        <v>54</v>
      </c>
      <c r="D42" s="50" t="s">
        <v>86</v>
      </c>
      <c r="E42" s="25" t="s">
        <v>76</v>
      </c>
      <c r="F42" s="59"/>
      <c r="G42" s="52">
        <f t="shared" si="19"/>
        <v>0</v>
      </c>
      <c r="H42" s="59"/>
      <c r="I42" s="52">
        <f t="shared" si="19"/>
        <v>0</v>
      </c>
      <c r="J42" s="51">
        <f t="shared" si="20"/>
        <v>0</v>
      </c>
      <c r="K42" s="51">
        <f t="shared" si="21"/>
        <v>0</v>
      </c>
      <c r="L42" s="56">
        <f t="shared" si="22"/>
        <v>0</v>
      </c>
      <c r="M42" s="52">
        <f t="shared" si="23"/>
        <v>0</v>
      </c>
      <c r="N42" s="59"/>
      <c r="O42" s="59"/>
      <c r="P42" s="60"/>
      <c r="Q42" s="60"/>
      <c r="R42" s="60"/>
      <c r="S42" s="59"/>
      <c r="T42" s="57">
        <f t="shared" si="25"/>
        <v>0</v>
      </c>
      <c r="U42" s="55">
        <f t="shared" si="14"/>
        <v>0</v>
      </c>
      <c r="V42" s="55">
        <f t="shared" si="15"/>
        <v>0</v>
      </c>
      <c r="W42" s="55" t="str">
        <f t="shared" si="16"/>
        <v>-</v>
      </c>
      <c r="X42" s="55" t="str">
        <f t="shared" si="17"/>
        <v>-</v>
      </c>
      <c r="Y42" s="60">
        <v>47.5</v>
      </c>
      <c r="Z42" s="60">
        <v>41.137</v>
      </c>
      <c r="AA42" s="60">
        <f>Z42</f>
        <v>41.137</v>
      </c>
      <c r="AB42" s="60">
        <f>Z42</f>
        <v>41.137</v>
      </c>
      <c r="AC42" s="60">
        <f>Z42</f>
        <v>41.137</v>
      </c>
      <c r="AD42" s="60">
        <f>Z42</f>
        <v>41.137</v>
      </c>
      <c r="AE42" s="60">
        <f>Z42</f>
        <v>41.137</v>
      </c>
      <c r="AF42" s="60">
        <f>Z42</f>
        <v>41.137</v>
      </c>
    </row>
    <row r="43" spans="1:32" x14ac:dyDescent="0.2">
      <c r="A43" s="2" t="s">
        <v>87</v>
      </c>
      <c r="C43" s="25" t="s">
        <v>88</v>
      </c>
      <c r="D43" s="61" t="s">
        <v>89</v>
      </c>
      <c r="E43" s="25" t="s">
        <v>76</v>
      </c>
      <c r="F43" s="59">
        <v>50</v>
      </c>
      <c r="G43" s="52">
        <f t="shared" si="19"/>
        <v>6.214267959234402E-2</v>
      </c>
      <c r="H43" s="59">
        <v>61.1</v>
      </c>
      <c r="I43" s="52">
        <f t="shared" si="19"/>
        <v>7.5938354461844396E-2</v>
      </c>
      <c r="J43" s="51">
        <f t="shared" si="20"/>
        <v>11.100000000000001</v>
      </c>
      <c r="K43" s="51">
        <f t="shared" si="21"/>
        <v>50</v>
      </c>
      <c r="L43" s="56">
        <f t="shared" si="22"/>
        <v>11.100000000000001</v>
      </c>
      <c r="M43" s="52">
        <f t="shared" si="23"/>
        <v>1.3795674869500375E-2</v>
      </c>
      <c r="N43" s="59">
        <v>212.584</v>
      </c>
      <c r="O43" s="59">
        <v>60</v>
      </c>
      <c r="P43" s="60">
        <v>60</v>
      </c>
      <c r="Q43" s="60">
        <v>60</v>
      </c>
      <c r="R43" s="60">
        <v>60</v>
      </c>
      <c r="S43" s="59">
        <v>212.584</v>
      </c>
      <c r="T43" s="57">
        <f t="shared" si="25"/>
        <v>152.584</v>
      </c>
      <c r="U43" s="55">
        <f t="shared" si="14"/>
        <v>4.9636413272776911</v>
      </c>
      <c r="V43" s="55">
        <f t="shared" si="15"/>
        <v>9.6076650170609899</v>
      </c>
      <c r="W43" s="55">
        <f t="shared" si="16"/>
        <v>28.224137282203742</v>
      </c>
      <c r="X43" s="55">
        <f t="shared" si="17"/>
        <v>100</v>
      </c>
      <c r="Y43" s="60">
        <v>137.02500000000001</v>
      </c>
      <c r="Z43" s="60">
        <f>Y43*1.068</f>
        <v>146.34270000000001</v>
      </c>
      <c r="AA43" s="60">
        <f>Z43*1.068</f>
        <v>156.29400360000002</v>
      </c>
      <c r="AB43" s="60">
        <f>AA43*1.068</f>
        <v>166.92199584480002</v>
      </c>
      <c r="AC43" s="60">
        <f t="shared" ref="AC43:AD43" si="31">AB43*1.068</f>
        <v>178.27269156224642</v>
      </c>
      <c r="AD43" s="60">
        <f t="shared" si="31"/>
        <v>190.39523458847918</v>
      </c>
      <c r="AE43" s="60">
        <f>AD43*1.21</f>
        <v>230.37823385205979</v>
      </c>
      <c r="AF43" s="60">
        <f>AE43*1.14</f>
        <v>262.63118659134813</v>
      </c>
    </row>
    <row r="44" spans="1:32" x14ac:dyDescent="0.2">
      <c r="A44" s="2" t="s">
        <v>90</v>
      </c>
      <c r="C44" s="25" t="s">
        <v>91</v>
      </c>
      <c r="D44" s="50" t="s">
        <v>92</v>
      </c>
      <c r="E44" s="25" t="s">
        <v>76</v>
      </c>
      <c r="F44" s="59">
        <v>364.7</v>
      </c>
      <c r="G44" s="52">
        <f t="shared" si="19"/>
        <v>0.45326870494655724</v>
      </c>
      <c r="H44" s="59">
        <v>364.7</v>
      </c>
      <c r="I44" s="52">
        <f t="shared" si="19"/>
        <v>0.45326870494655724</v>
      </c>
      <c r="J44" s="51">
        <f t="shared" si="20"/>
        <v>0</v>
      </c>
      <c r="K44" s="51">
        <f t="shared" si="21"/>
        <v>364.7</v>
      </c>
      <c r="L44" s="56">
        <f t="shared" si="22"/>
        <v>0</v>
      </c>
      <c r="M44" s="52">
        <f t="shared" si="23"/>
        <v>0</v>
      </c>
      <c r="N44" s="59">
        <v>637.98599999999999</v>
      </c>
      <c r="O44" s="59">
        <v>760.8</v>
      </c>
      <c r="P44" s="62">
        <v>454.5</v>
      </c>
      <c r="Q44" s="62">
        <v>482.2</v>
      </c>
      <c r="R44" s="62">
        <f>Q44*1.1</f>
        <v>530.42000000000007</v>
      </c>
      <c r="S44" s="59">
        <v>637.98599999999999</v>
      </c>
      <c r="T44" s="57">
        <f t="shared" si="25"/>
        <v>-122.81399999999996</v>
      </c>
      <c r="U44" s="55">
        <f t="shared" si="14"/>
        <v>62.938972029881121</v>
      </c>
      <c r="V44" s="55">
        <f t="shared" si="15"/>
        <v>28.833570605382686</v>
      </c>
      <c r="W44" s="55">
        <f t="shared" si="16"/>
        <v>119.25026567981114</v>
      </c>
      <c r="X44" s="55">
        <f t="shared" si="17"/>
        <v>100</v>
      </c>
      <c r="Y44" s="62">
        <v>657.76356600000008</v>
      </c>
      <c r="Z44" s="62">
        <f>Y44*1.068</f>
        <v>702.49148848800007</v>
      </c>
      <c r="AA44" s="62">
        <f>Z44*1.068</f>
        <v>750.26090970518408</v>
      </c>
      <c r="AB44" s="62">
        <f t="shared" ref="AB44:AD44" si="32">AA44*1.068</f>
        <v>801.27865156513667</v>
      </c>
      <c r="AC44" s="62">
        <f t="shared" si="32"/>
        <v>855.765599871566</v>
      </c>
      <c r="AD44" s="62">
        <f t="shared" si="32"/>
        <v>913.9576606628325</v>
      </c>
      <c r="AE44" s="62">
        <f>AD44*1.21</f>
        <v>1105.8887694020273</v>
      </c>
      <c r="AF44" s="62">
        <f>AE44*1.14</f>
        <v>1260.713197118311</v>
      </c>
    </row>
    <row r="45" spans="1:32" x14ac:dyDescent="0.2">
      <c r="A45" s="2" t="s">
        <v>93</v>
      </c>
      <c r="C45" s="25" t="s">
        <v>94</v>
      </c>
      <c r="D45" s="50" t="s">
        <v>95</v>
      </c>
      <c r="E45" s="25" t="s">
        <v>76</v>
      </c>
      <c r="F45" s="59">
        <v>95.6</v>
      </c>
      <c r="G45" s="52">
        <f t="shared" si="19"/>
        <v>0.11881680338056176</v>
      </c>
      <c r="H45" s="59">
        <v>95.6</v>
      </c>
      <c r="I45" s="52">
        <f t="shared" si="19"/>
        <v>0.11881680338056176</v>
      </c>
      <c r="J45" s="51">
        <f t="shared" si="20"/>
        <v>0</v>
      </c>
      <c r="K45" s="51">
        <f t="shared" si="21"/>
        <v>95.6</v>
      </c>
      <c r="L45" s="56">
        <f t="shared" si="22"/>
        <v>0</v>
      </c>
      <c r="M45" s="52">
        <f t="shared" si="23"/>
        <v>0</v>
      </c>
      <c r="N45" s="59">
        <v>218.191</v>
      </c>
      <c r="O45" s="59">
        <f>O44*0.342</f>
        <v>260.1936</v>
      </c>
      <c r="P45" s="59">
        <f>P44*0.342</f>
        <v>155.43900000000002</v>
      </c>
      <c r="Q45" s="59">
        <f>Q44*0.342</f>
        <v>164.91240000000002</v>
      </c>
      <c r="R45" s="59">
        <f>R44*0.342</f>
        <v>181.40364000000005</v>
      </c>
      <c r="S45" s="59">
        <v>218.191</v>
      </c>
      <c r="T45" s="57">
        <f t="shared" si="25"/>
        <v>-42.002600000000001</v>
      </c>
      <c r="U45" s="55">
        <f t="shared" si="14"/>
        <v>21.525128434219347</v>
      </c>
      <c r="V45" s="55">
        <f t="shared" si="15"/>
        <v>9.8610715657695529</v>
      </c>
      <c r="W45" s="55">
        <f t="shared" si="16"/>
        <v>119.25038154644325</v>
      </c>
      <c r="X45" s="55">
        <f t="shared" si="17"/>
        <v>100</v>
      </c>
      <c r="Y45" s="59">
        <v>198.64459693200001</v>
      </c>
      <c r="Z45" s="59">
        <f>Z44*0.302</f>
        <v>212.15242952337601</v>
      </c>
      <c r="AA45" s="59">
        <f t="shared" ref="AA45:AF45" si="33">AA44*0.302</f>
        <v>226.5787947309656</v>
      </c>
      <c r="AB45" s="59">
        <f t="shared" si="33"/>
        <v>241.98615277267126</v>
      </c>
      <c r="AC45" s="59">
        <f t="shared" si="33"/>
        <v>258.44121116121295</v>
      </c>
      <c r="AD45" s="59">
        <f t="shared" si="33"/>
        <v>276.01521352017539</v>
      </c>
      <c r="AE45" s="59">
        <f t="shared" si="33"/>
        <v>333.97840835941224</v>
      </c>
      <c r="AF45" s="59">
        <f t="shared" si="33"/>
        <v>380.73538552972991</v>
      </c>
    </row>
    <row r="46" spans="1:32" x14ac:dyDescent="0.2">
      <c r="A46" s="2" t="s">
        <v>96</v>
      </c>
      <c r="C46" s="25" t="s">
        <v>97</v>
      </c>
      <c r="D46" s="50" t="s">
        <v>98</v>
      </c>
      <c r="E46" s="25" t="s">
        <v>76</v>
      </c>
      <c r="F46" s="59">
        <v>2.2000000000000002</v>
      </c>
      <c r="G46" s="52">
        <f t="shared" si="19"/>
        <v>2.7342779020631371E-3</v>
      </c>
      <c r="H46" s="59">
        <v>2.2000000000000002</v>
      </c>
      <c r="I46" s="52">
        <f t="shared" si="19"/>
        <v>2.7342779020631371E-3</v>
      </c>
      <c r="J46" s="51">
        <f t="shared" si="20"/>
        <v>0</v>
      </c>
      <c r="K46" s="51">
        <f t="shared" si="21"/>
        <v>2.2000000000000002</v>
      </c>
      <c r="L46" s="56">
        <f t="shared" si="22"/>
        <v>0</v>
      </c>
      <c r="M46" s="52">
        <f t="shared" si="23"/>
        <v>0</v>
      </c>
      <c r="N46" s="59">
        <v>49.040999999999997</v>
      </c>
      <c r="O46" s="59">
        <v>76.099999999999994</v>
      </c>
      <c r="P46" s="60">
        <v>76.099999999999994</v>
      </c>
      <c r="Q46" s="60">
        <v>76.099999999999994</v>
      </c>
      <c r="R46" s="60">
        <v>76.099999999999994</v>
      </c>
      <c r="S46" s="59">
        <v>49.040999999999997</v>
      </c>
      <c r="T46" s="63">
        <f t="shared" si="25"/>
        <v>-27.058999999999997</v>
      </c>
      <c r="U46" s="55">
        <f t="shared" si="14"/>
        <v>6.2955517500972045</v>
      </c>
      <c r="V46" s="55">
        <f t="shared" si="15"/>
        <v>2.2163921090095582</v>
      </c>
      <c r="W46" s="55">
        <f t="shared" si="16"/>
        <v>155.17628107094063</v>
      </c>
      <c r="X46" s="55">
        <f t="shared" si="17"/>
        <v>100</v>
      </c>
      <c r="Y46" s="60">
        <v>50.144422499999997</v>
      </c>
      <c r="Z46" s="60">
        <f>Y46*1.068</f>
        <v>53.554243229999997</v>
      </c>
      <c r="AA46" s="60">
        <f>Z46*1.068</f>
        <v>57.195931769639998</v>
      </c>
      <c r="AB46" s="60">
        <f t="shared" ref="AB46:AD47" si="34">AA46*1.068</f>
        <v>61.085255129975522</v>
      </c>
      <c r="AC46" s="60">
        <f t="shared" si="34"/>
        <v>65.239052478813861</v>
      </c>
      <c r="AD46" s="60">
        <f t="shared" si="34"/>
        <v>69.675308047373207</v>
      </c>
      <c r="AE46" s="60">
        <f>AD46*1.21</f>
        <v>84.307122737321578</v>
      </c>
      <c r="AF46" s="60">
        <f>AE46*1.14</f>
        <v>96.110119920546595</v>
      </c>
    </row>
    <row r="47" spans="1:32" x14ac:dyDescent="0.2">
      <c r="A47" s="2" t="s">
        <v>99</v>
      </c>
      <c r="C47" s="25" t="s">
        <v>100</v>
      </c>
      <c r="D47" s="50" t="s">
        <v>101</v>
      </c>
      <c r="E47" s="25" t="s">
        <v>76</v>
      </c>
      <c r="F47" s="59"/>
      <c r="G47" s="52">
        <f t="shared" si="19"/>
        <v>0</v>
      </c>
      <c r="H47" s="59"/>
      <c r="I47" s="52">
        <f t="shared" si="19"/>
        <v>0</v>
      </c>
      <c r="J47" s="51">
        <f t="shared" si="20"/>
        <v>0</v>
      </c>
      <c r="K47" s="51">
        <f t="shared" si="21"/>
        <v>0</v>
      </c>
      <c r="L47" s="56">
        <f t="shared" si="22"/>
        <v>0</v>
      </c>
      <c r="M47" s="52">
        <f t="shared" si="23"/>
        <v>0</v>
      </c>
      <c r="N47" s="59">
        <v>107</v>
      </c>
      <c r="O47" s="59"/>
      <c r="P47" s="60"/>
      <c r="Q47" s="60"/>
      <c r="R47" s="60"/>
      <c r="S47" s="59">
        <v>107</v>
      </c>
      <c r="T47" s="63">
        <f t="shared" si="25"/>
        <v>107</v>
      </c>
      <c r="U47" s="55">
        <f t="shared" si="14"/>
        <v>0</v>
      </c>
      <c r="V47" s="55">
        <f t="shared" si="15"/>
        <v>4.8358303391860442</v>
      </c>
      <c r="W47" s="55">
        <f t="shared" si="16"/>
        <v>0</v>
      </c>
      <c r="X47" s="55">
        <f t="shared" si="17"/>
        <v>100</v>
      </c>
      <c r="Y47" s="60">
        <v>109.40749999999998</v>
      </c>
      <c r="Z47" s="60">
        <f>Y47*1.068</f>
        <v>116.84720999999999</v>
      </c>
      <c r="AA47" s="60">
        <f>Z47*1.068</f>
        <v>124.79282028</v>
      </c>
      <c r="AB47" s="60">
        <f t="shared" si="34"/>
        <v>133.27873205904001</v>
      </c>
      <c r="AC47" s="60">
        <f t="shared" si="34"/>
        <v>142.34168583905475</v>
      </c>
      <c r="AD47" s="60">
        <f t="shared" si="34"/>
        <v>152.02092047611049</v>
      </c>
      <c r="AE47" s="60">
        <f>AD47*1.21</f>
        <v>183.94531377609368</v>
      </c>
      <c r="AF47" s="60">
        <f>AE47*1.14</f>
        <v>209.69765770474677</v>
      </c>
    </row>
    <row r="48" spans="1:32" x14ac:dyDescent="0.2">
      <c r="A48" s="2" t="s">
        <v>102</v>
      </c>
      <c r="C48" s="25" t="s">
        <v>103</v>
      </c>
      <c r="D48" s="58" t="s">
        <v>278</v>
      </c>
      <c r="E48" s="25" t="s">
        <v>76</v>
      </c>
      <c r="F48" s="51">
        <f>F200</f>
        <v>0</v>
      </c>
      <c r="G48" s="52">
        <f>F48/F$29</f>
        <v>0</v>
      </c>
      <c r="H48" s="51">
        <f>H200</f>
        <v>0</v>
      </c>
      <c r="I48" s="52">
        <f>H48/H$29</f>
        <v>0</v>
      </c>
      <c r="J48" s="51">
        <f t="shared" si="20"/>
        <v>0</v>
      </c>
      <c r="K48" s="51">
        <f t="shared" si="21"/>
        <v>0</v>
      </c>
      <c r="L48" s="56">
        <f t="shared" si="22"/>
        <v>0</v>
      </c>
      <c r="M48" s="52">
        <f t="shared" si="23"/>
        <v>0</v>
      </c>
      <c r="N48" s="51">
        <f t="shared" ref="N48:AF48" si="35">N200</f>
        <v>0</v>
      </c>
      <c r="O48" s="51">
        <f t="shared" si="35"/>
        <v>0</v>
      </c>
      <c r="P48" s="51">
        <f t="shared" si="35"/>
        <v>0</v>
      </c>
      <c r="Q48" s="51">
        <f t="shared" si="35"/>
        <v>0</v>
      </c>
      <c r="R48" s="51">
        <f t="shared" si="35"/>
        <v>0</v>
      </c>
      <c r="S48" s="51">
        <f t="shared" si="35"/>
        <v>0</v>
      </c>
      <c r="T48" s="51">
        <f t="shared" si="35"/>
        <v>0</v>
      </c>
      <c r="U48" s="51">
        <f t="shared" si="35"/>
        <v>0</v>
      </c>
      <c r="V48" s="51">
        <f t="shared" si="35"/>
        <v>0</v>
      </c>
      <c r="W48" s="51">
        <f t="shared" si="35"/>
        <v>0</v>
      </c>
      <c r="X48" s="51">
        <f t="shared" si="35"/>
        <v>0</v>
      </c>
      <c r="Y48" s="51">
        <f t="shared" si="35"/>
        <v>0</v>
      </c>
      <c r="Z48" s="51">
        <f t="shared" si="35"/>
        <v>0</v>
      </c>
      <c r="AA48" s="51">
        <f t="shared" si="35"/>
        <v>0</v>
      </c>
      <c r="AB48" s="51">
        <f t="shared" si="35"/>
        <v>0</v>
      </c>
      <c r="AC48" s="51">
        <f t="shared" si="35"/>
        <v>0</v>
      </c>
      <c r="AD48" s="51">
        <f t="shared" si="35"/>
        <v>0</v>
      </c>
      <c r="AE48" s="51">
        <f t="shared" si="35"/>
        <v>0</v>
      </c>
      <c r="AF48" s="51">
        <f t="shared" si="35"/>
        <v>0</v>
      </c>
    </row>
    <row r="49" spans="1:32" x14ac:dyDescent="0.2">
      <c r="A49" s="2" t="s">
        <v>104</v>
      </c>
      <c r="C49" s="261"/>
      <c r="D49" s="263" t="s">
        <v>105</v>
      </c>
      <c r="E49" s="64" t="s">
        <v>76</v>
      </c>
      <c r="F49" s="65">
        <f>ROUND(SUM(F37:F48),2)</f>
        <v>1104.1600000000001</v>
      </c>
      <c r="G49" s="66">
        <f>SUM(G37:G48)</f>
        <v>1.3723067949291572</v>
      </c>
      <c r="H49" s="65">
        <f>ROUND(SUM(H37:H48),2)</f>
        <v>1083.67</v>
      </c>
      <c r="I49" s="66">
        <f>SUM(I37:I48)</f>
        <v>1.3468423484961471</v>
      </c>
      <c r="J49" s="65">
        <f>SUM(J37:J48)</f>
        <v>-20.488693599999998</v>
      </c>
      <c r="K49" s="65">
        <f>SUM(K37:K48)</f>
        <v>1104.1580472000001</v>
      </c>
      <c r="L49" s="65">
        <f>SUM(L37:L48)</f>
        <v>-20.488693599999998</v>
      </c>
      <c r="M49" s="66">
        <f>SUM(M37:M48)</f>
        <v>-2.5464446433010206E-2</v>
      </c>
      <c r="N49" s="65">
        <f t="shared" ref="N49:S49" si="36">ROUND(SUM(N37:N48),2)</f>
        <v>2212.65</v>
      </c>
      <c r="O49" s="65">
        <f t="shared" si="36"/>
        <v>1208.79</v>
      </c>
      <c r="P49" s="65">
        <f t="shared" si="36"/>
        <v>797.74</v>
      </c>
      <c r="Q49" s="65">
        <f t="shared" si="36"/>
        <v>834.91</v>
      </c>
      <c r="R49" s="65">
        <f t="shared" si="36"/>
        <v>899.62</v>
      </c>
      <c r="S49" s="65">
        <f t="shared" si="36"/>
        <v>2212.65</v>
      </c>
      <c r="T49" s="67">
        <f t="shared" si="25"/>
        <v>1003.8600000000001</v>
      </c>
      <c r="U49" s="68" t="s">
        <v>106</v>
      </c>
      <c r="V49" s="68" t="s">
        <v>106</v>
      </c>
      <c r="W49" s="68">
        <f t="shared" si="16"/>
        <v>54.630872483221474</v>
      </c>
      <c r="X49" s="68">
        <f t="shared" si="17"/>
        <v>100</v>
      </c>
      <c r="Y49" s="65">
        <f>ROUND(SUM(Y37:Y48),2)</f>
        <v>2365.31</v>
      </c>
      <c r="Z49" s="65">
        <f t="shared" ref="Z49:AF49" si="37">ROUND(SUM(Z37:Z48),2)</f>
        <v>2559.41</v>
      </c>
      <c r="AA49" s="65">
        <f t="shared" si="37"/>
        <v>2821.91</v>
      </c>
      <c r="AB49" s="65">
        <f t="shared" si="37"/>
        <v>3114.47</v>
      </c>
      <c r="AC49" s="65">
        <f t="shared" si="37"/>
        <v>3442.48</v>
      </c>
      <c r="AD49" s="65">
        <f t="shared" si="37"/>
        <v>3810.66</v>
      </c>
      <c r="AE49" s="65">
        <f t="shared" si="37"/>
        <v>5240.95</v>
      </c>
      <c r="AF49" s="65">
        <f t="shared" si="37"/>
        <v>6384.69</v>
      </c>
    </row>
    <row r="50" spans="1:32" x14ac:dyDescent="0.2">
      <c r="A50" s="2" t="s">
        <v>107</v>
      </c>
      <c r="C50" s="262"/>
      <c r="D50" s="264"/>
      <c r="E50" s="64" t="s">
        <v>108</v>
      </c>
      <c r="F50" s="69">
        <f>IF(F29&lt;&gt;0,ROUND(F49/F29*1000,2),0)</f>
        <v>1372.31</v>
      </c>
      <c r="G50" s="66"/>
      <c r="H50" s="69">
        <f>IF(H29&lt;&gt;0,ROUND(H49/H29*1000,2),0)</f>
        <v>1346.84</v>
      </c>
      <c r="I50" s="66"/>
      <c r="J50" s="69"/>
      <c r="K50" s="69"/>
      <c r="L50" s="69"/>
      <c r="M50" s="66"/>
      <c r="N50" s="69">
        <f t="shared" ref="N50:S50" si="38">IF(N29&lt;&gt;0,ROUND(N49/N29*1000,2),0)</f>
        <v>1866.74</v>
      </c>
      <c r="O50" s="69">
        <f t="shared" si="38"/>
        <v>1501.6</v>
      </c>
      <c r="P50" s="69">
        <f t="shared" si="38"/>
        <v>990.98</v>
      </c>
      <c r="Q50" s="69">
        <f t="shared" si="38"/>
        <v>1037.1600000000001</v>
      </c>
      <c r="R50" s="69">
        <f t="shared" si="38"/>
        <v>1117.54</v>
      </c>
      <c r="S50" s="69">
        <f t="shared" si="38"/>
        <v>1866.74</v>
      </c>
      <c r="T50" s="70"/>
      <c r="U50" s="71"/>
      <c r="V50" s="71"/>
      <c r="W50" s="3"/>
      <c r="X50" s="3"/>
      <c r="Y50" s="69">
        <f>IF(Y29&lt;&gt;0,ROUND(Y49/Y29*1000,2),0)</f>
        <v>1995.54</v>
      </c>
      <c r="Z50" s="69">
        <f t="shared" ref="Z50:AF50" si="39">IF(Z29&lt;&gt;0,ROUND(Z49/Z29*1000,2),0)</f>
        <v>2159.29</v>
      </c>
      <c r="AA50" s="69">
        <f t="shared" si="39"/>
        <v>2380.7600000000002</v>
      </c>
      <c r="AB50" s="69">
        <f t="shared" si="39"/>
        <v>2627.58</v>
      </c>
      <c r="AC50" s="69">
        <f t="shared" si="39"/>
        <v>2904.31</v>
      </c>
      <c r="AD50" s="69">
        <f t="shared" si="39"/>
        <v>3214.93</v>
      </c>
      <c r="AE50" s="69">
        <f t="shared" si="39"/>
        <v>4421.62</v>
      </c>
      <c r="AF50" s="69">
        <f t="shared" si="39"/>
        <v>5386.56</v>
      </c>
    </row>
    <row r="51" spans="1:32" x14ac:dyDescent="0.2">
      <c r="A51" s="2" t="s">
        <v>109</v>
      </c>
      <c r="C51" s="265" t="s">
        <v>110</v>
      </c>
      <c r="D51" s="267" t="s">
        <v>111</v>
      </c>
      <c r="E51" s="20" t="s">
        <v>76</v>
      </c>
      <c r="F51" s="72">
        <v>47.3</v>
      </c>
      <c r="G51" s="52">
        <f>F51/F$29</f>
        <v>5.8786974894357441E-2</v>
      </c>
      <c r="H51" s="72">
        <v>47.3</v>
      </c>
      <c r="I51" s="52">
        <f>H51/H$29</f>
        <v>5.8786974894357441E-2</v>
      </c>
      <c r="J51" s="51">
        <f>H51-F51</f>
        <v>0</v>
      </c>
      <c r="K51" s="51">
        <f>G51*H$29</f>
        <v>47.3</v>
      </c>
      <c r="L51" s="56">
        <f>H51-K51</f>
        <v>0</v>
      </c>
      <c r="M51" s="52">
        <f>I51-G51</f>
        <v>0</v>
      </c>
      <c r="N51" s="72">
        <v>168.328</v>
      </c>
      <c r="O51" s="73">
        <v>0</v>
      </c>
      <c r="P51" s="74"/>
      <c r="Q51" s="75"/>
      <c r="R51" s="75"/>
      <c r="S51" s="72">
        <f>N51</f>
        <v>168.328</v>
      </c>
      <c r="T51" s="72">
        <v>212.5</v>
      </c>
      <c r="U51" s="72">
        <v>213.5</v>
      </c>
      <c r="V51" s="72">
        <v>214.5</v>
      </c>
      <c r="W51" s="72">
        <v>215.5</v>
      </c>
      <c r="X51" s="72">
        <v>216.5</v>
      </c>
      <c r="Y51" s="72">
        <v>229.94999999999996</v>
      </c>
      <c r="Z51" s="74">
        <f>Y51*1.068</f>
        <v>245.58659999999998</v>
      </c>
      <c r="AA51" s="74">
        <f>Z51*1.068</f>
        <v>262.28648879999997</v>
      </c>
      <c r="AB51" s="74">
        <f t="shared" ref="AB51:AD51" si="40">AA51*1.068</f>
        <v>280.12197003839998</v>
      </c>
      <c r="AC51" s="74">
        <f t="shared" si="40"/>
        <v>299.17026400101122</v>
      </c>
      <c r="AD51" s="74">
        <f t="shared" si="40"/>
        <v>319.51384195307998</v>
      </c>
      <c r="AE51" s="74">
        <f>AD51*1.21</f>
        <v>386.61174876322679</v>
      </c>
      <c r="AF51" s="74">
        <f>AE51*1.14</f>
        <v>440.73739359007851</v>
      </c>
    </row>
    <row r="52" spans="1:32" x14ac:dyDescent="0.2">
      <c r="C52" s="266"/>
      <c r="D52" s="268"/>
      <c r="E52" s="20" t="s">
        <v>108</v>
      </c>
      <c r="F52" s="76">
        <f>IF((F$32+F$31)&lt;&gt;0,ROUND(F51/(F$32+F$31)*1000,2),0)</f>
        <v>58.79</v>
      </c>
      <c r="G52" s="77"/>
      <c r="H52" s="76">
        <f>IF((H$32+H$31)&lt;&gt;0,ROUND(H51/(H$32+H$31)*1000,2),0)</f>
        <v>58.79</v>
      </c>
      <c r="I52" s="77"/>
      <c r="J52" s="76"/>
      <c r="K52" s="76"/>
      <c r="L52" s="76"/>
      <c r="M52" s="77"/>
      <c r="N52" s="76">
        <f t="shared" ref="N52:S52" si="41">IF((N$32+N$31)&lt;&gt;0,ROUND(N51/(N$32+N$31)*1000,2),0)</f>
        <v>146.21</v>
      </c>
      <c r="O52" s="76">
        <f t="shared" si="41"/>
        <v>0</v>
      </c>
      <c r="P52" s="76">
        <f t="shared" si="41"/>
        <v>0</v>
      </c>
      <c r="Q52" s="76">
        <f t="shared" si="41"/>
        <v>0</v>
      </c>
      <c r="R52" s="76">
        <f t="shared" si="41"/>
        <v>0</v>
      </c>
      <c r="S52" s="76">
        <f t="shared" si="41"/>
        <v>146.21</v>
      </c>
      <c r="T52" s="76">
        <f t="shared" ref="T52:Y52" si="42">IF((T$32+T$31)&lt;&gt;0,ROUND(T51/(T$32+T$31)*1000,2),0)</f>
        <v>0</v>
      </c>
      <c r="U52" s="76" t="e">
        <f t="shared" si="42"/>
        <v>#VALUE!</v>
      </c>
      <c r="V52" s="76" t="e">
        <f t="shared" si="42"/>
        <v>#VALUE!</v>
      </c>
      <c r="W52" s="76" t="e">
        <f t="shared" si="42"/>
        <v>#VALUE!</v>
      </c>
      <c r="X52" s="76" t="e">
        <f t="shared" si="42"/>
        <v>#VALUE!</v>
      </c>
      <c r="Y52" s="76">
        <f t="shared" si="42"/>
        <v>199.73</v>
      </c>
      <c r="Z52" s="76">
        <f t="shared" ref="Z52" si="43">IF((Z$32+Z$31)&lt;&gt;0,ROUND(Z51/(Z$32+Z$31)*1000,2),0)</f>
        <v>213.31</v>
      </c>
      <c r="AA52" s="76">
        <f t="shared" ref="AA52" si="44">IF((AA$32+AA$31)&lt;&gt;0,ROUND(AA51/(AA$32+AA$31)*1000,2),0)</f>
        <v>227.82</v>
      </c>
      <c r="AB52" s="76">
        <f t="shared" ref="AB52" si="45">IF((AB$32+AB$31)&lt;&gt;0,ROUND(AB51/(AB$32+AB$31)*1000,2),0)</f>
        <v>243.31</v>
      </c>
      <c r="AC52" s="76">
        <f t="shared" ref="AC52" si="46">IF((AC$32+AC$31)&lt;&gt;0,ROUND(AC51/(AC$32+AC$31)*1000,2),0)</f>
        <v>259.85000000000002</v>
      </c>
      <c r="AD52" s="76">
        <f t="shared" ref="AD52" si="47">IF((AD$32+AD$31)&lt;&gt;0,ROUND(AD51/(AD$32+AD$31)*1000,2),0)</f>
        <v>277.52</v>
      </c>
      <c r="AE52" s="76">
        <f t="shared" ref="AE52" si="48">IF((AE$32+AE$31)&lt;&gt;0,ROUND(AE51/(AE$32+AE$31)*1000,2),0)</f>
        <v>335.8</v>
      </c>
      <c r="AF52" s="76">
        <f t="shared" ref="AF52" si="49">IF((AF$32+AF$31)&lt;&gt;0,ROUND(AF51/(AF$32+AF$31)*1000,2),0)</f>
        <v>382.82</v>
      </c>
    </row>
    <row r="53" spans="1:32" x14ac:dyDescent="0.2">
      <c r="C53" s="261"/>
      <c r="D53" s="263" t="s">
        <v>112</v>
      </c>
      <c r="E53" s="64" t="s">
        <v>76</v>
      </c>
      <c r="F53" s="65">
        <f>F50*(F32+F31)/1000+F51</f>
        <v>1151.4606259999998</v>
      </c>
      <c r="G53" s="66">
        <f>G49+G51</f>
        <v>1.4310937698235147</v>
      </c>
      <c r="H53" s="65">
        <f>H50*(H32+H31)/1000+H51</f>
        <v>1130.9674639999998</v>
      </c>
      <c r="I53" s="66">
        <f>I49+I51</f>
        <v>1.4056293233905046</v>
      </c>
      <c r="J53" s="65"/>
      <c r="K53" s="65">
        <f>K49+K51</f>
        <v>1151.4580472</v>
      </c>
      <c r="L53" s="65">
        <f>L49+L51</f>
        <v>-20.488693599999998</v>
      </c>
      <c r="M53" s="66">
        <f>M49+M51</f>
        <v>-2.5464446433010206E-2</v>
      </c>
      <c r="N53" s="65">
        <f t="shared" ref="N53:S53" si="50">N50*(N32+N31)/1000+N51</f>
        <v>2317.5057620000007</v>
      </c>
      <c r="O53" s="65">
        <f t="shared" si="50"/>
        <v>1208.788</v>
      </c>
      <c r="P53" s="65">
        <f t="shared" si="50"/>
        <v>797.73890000000006</v>
      </c>
      <c r="Q53" s="65">
        <f t="shared" si="50"/>
        <v>834.91380000000004</v>
      </c>
      <c r="R53" s="65">
        <f t="shared" si="50"/>
        <v>899.61969999999997</v>
      </c>
      <c r="S53" s="65">
        <f t="shared" si="50"/>
        <v>2317.5057620000007</v>
      </c>
      <c r="Y53" s="65">
        <f>Y50*(Y32+Y31)/1000+Y51</f>
        <v>2527.4152020000001</v>
      </c>
      <c r="Z53" s="65">
        <f t="shared" ref="Z53:AF53" si="51">Z50*(Z32+Z31)/1000+Z51</f>
        <v>2731.5771770000006</v>
      </c>
      <c r="AA53" s="65">
        <f t="shared" si="51"/>
        <v>3003.2554768000009</v>
      </c>
      <c r="AB53" s="65">
        <f t="shared" si="51"/>
        <v>3305.2548240384003</v>
      </c>
      <c r="AC53" s="65">
        <f t="shared" si="51"/>
        <v>3642.902367001012</v>
      </c>
      <c r="AD53" s="65">
        <f t="shared" si="51"/>
        <v>4020.8627509530802</v>
      </c>
      <c r="AE53" s="65">
        <f t="shared" si="51"/>
        <v>5477.2228547632267</v>
      </c>
      <c r="AF53" s="65">
        <f t="shared" si="51"/>
        <v>6642.2839215900804</v>
      </c>
    </row>
    <row r="54" spans="1:32" x14ac:dyDescent="0.2">
      <c r="C54" s="262"/>
      <c r="D54" s="264"/>
      <c r="E54" s="64" t="s">
        <v>108</v>
      </c>
      <c r="F54" s="69">
        <f>IF((F$32+F$31)&lt;&gt;0,ROUND(F53/(F$32+F$31)*1000,2),0)</f>
        <v>1431.1</v>
      </c>
      <c r="G54" s="66"/>
      <c r="H54" s="69">
        <f>IF((H$32+H$31)&lt;&gt;0,ROUND(H53/(H$32+H$31)*1000,2),0)</f>
        <v>1405.63</v>
      </c>
      <c r="I54" s="66"/>
      <c r="J54" s="69"/>
      <c r="K54" s="69"/>
      <c r="L54" s="69"/>
      <c r="M54" s="66"/>
      <c r="N54" s="69">
        <f t="shared" ref="N54:S54" si="52">IF((N$32+N$31)&lt;&gt;0,ROUND(N53/(N$32+N$31)*1000,2),0)</f>
        <v>2012.95</v>
      </c>
      <c r="O54" s="69">
        <f t="shared" si="52"/>
        <v>1501.6</v>
      </c>
      <c r="P54" s="69">
        <f t="shared" si="52"/>
        <v>990.98</v>
      </c>
      <c r="Q54" s="69">
        <f t="shared" si="52"/>
        <v>1037.1600000000001</v>
      </c>
      <c r="R54" s="69">
        <f t="shared" si="52"/>
        <v>1117.54</v>
      </c>
      <c r="S54" s="69">
        <f t="shared" si="52"/>
        <v>2012.95</v>
      </c>
      <c r="T54" s="70"/>
      <c r="U54" s="71"/>
      <c r="V54" s="71"/>
      <c r="W54" s="3"/>
      <c r="X54" s="3"/>
      <c r="Y54" s="69">
        <f>IF((Y$32+Y$31)&lt;&gt;0,ROUND(Y53/(Y$32+Y$31)*1000,2),0)</f>
        <v>2195.27</v>
      </c>
      <c r="Z54" s="69">
        <f t="shared" ref="Z54:AF54" si="53">IF((Z$32+Z$31)&lt;&gt;0,ROUND(Z53/(Z$32+Z$31)*1000,2),0)</f>
        <v>2372.6</v>
      </c>
      <c r="AA54" s="69">
        <f t="shared" si="53"/>
        <v>2608.58</v>
      </c>
      <c r="AB54" s="69">
        <f t="shared" si="53"/>
        <v>2870.89</v>
      </c>
      <c r="AC54" s="69">
        <f t="shared" si="53"/>
        <v>3164.16</v>
      </c>
      <c r="AD54" s="69">
        <f t="shared" si="53"/>
        <v>3492.45</v>
      </c>
      <c r="AE54" s="69">
        <f t="shared" si="53"/>
        <v>4757.42</v>
      </c>
      <c r="AF54" s="69">
        <f t="shared" si="53"/>
        <v>5769.38</v>
      </c>
    </row>
    <row r="55" spans="1:32" x14ac:dyDescent="0.2">
      <c r="C55" s="265" t="s">
        <v>113</v>
      </c>
      <c r="D55" s="269" t="s">
        <v>114</v>
      </c>
      <c r="E55" s="20" t="s">
        <v>76</v>
      </c>
      <c r="F55" s="72"/>
      <c r="G55" s="52">
        <f>F55/F$29</f>
        <v>0</v>
      </c>
      <c r="H55" s="72"/>
      <c r="I55" s="52">
        <f>H55/H$29</f>
        <v>0</v>
      </c>
      <c r="J55" s="51">
        <f>H55-F55</f>
        <v>0</v>
      </c>
      <c r="K55" s="51">
        <f>G55*H$29</f>
        <v>0</v>
      </c>
      <c r="L55" s="56">
        <f>H55-K55</f>
        <v>0</v>
      </c>
      <c r="M55" s="52">
        <f>I55-G55</f>
        <v>0</v>
      </c>
      <c r="N55" s="72"/>
      <c r="O55" s="72"/>
      <c r="P55" s="75"/>
      <c r="Q55" s="75"/>
      <c r="R55" s="75"/>
      <c r="S55" s="72"/>
      <c r="U55" s="2" t="s">
        <v>115</v>
      </c>
      <c r="Y55" s="75"/>
      <c r="Z55" s="29"/>
      <c r="AA55" s="29"/>
      <c r="AB55" s="29"/>
      <c r="AC55" s="29"/>
      <c r="AD55" s="29"/>
      <c r="AE55" s="29"/>
      <c r="AF55" s="29"/>
    </row>
    <row r="56" spans="1:32" ht="15.75" customHeight="1" x14ac:dyDescent="0.2">
      <c r="C56" s="266"/>
      <c r="D56" s="270"/>
      <c r="E56" s="20" t="s">
        <v>108</v>
      </c>
      <c r="F56" s="76">
        <f>IF(F$29&lt;&gt;0,ROUND(F55/F$29*1000,0),0)</f>
        <v>0</v>
      </c>
      <c r="G56" s="76"/>
      <c r="H56" s="76">
        <f>IF(H$29&lt;&gt;0,ROUND(H55/H$29*1000,0),0)</f>
        <v>0</v>
      </c>
      <c r="I56" s="76"/>
      <c r="J56" s="76"/>
      <c r="K56" s="76"/>
      <c r="L56" s="76"/>
      <c r="M56" s="76"/>
      <c r="N56" s="76">
        <f t="shared" ref="N56:S56" si="54">IF(N$29&lt;&gt;0,ROUND(N55/N$29*1000,0),0)</f>
        <v>0</v>
      </c>
      <c r="O56" s="76">
        <f t="shared" si="54"/>
        <v>0</v>
      </c>
      <c r="P56" s="76">
        <f t="shared" si="54"/>
        <v>0</v>
      </c>
      <c r="Q56" s="76">
        <f t="shared" si="54"/>
        <v>0</v>
      </c>
      <c r="R56" s="76">
        <f t="shared" si="54"/>
        <v>0</v>
      </c>
      <c r="S56" s="76">
        <f t="shared" si="54"/>
        <v>0</v>
      </c>
      <c r="Y56" s="76">
        <f>IF(Y$29&lt;&gt;0,ROUND(Y55/Y$29*1000,0),0)</f>
        <v>0</v>
      </c>
      <c r="Z56" s="29"/>
      <c r="AA56" s="29"/>
      <c r="AB56" s="29"/>
      <c r="AC56" s="29"/>
      <c r="AD56" s="29"/>
      <c r="AE56" s="29"/>
      <c r="AF56" s="29"/>
    </row>
    <row r="57" spans="1:32" ht="16.5" x14ac:dyDescent="0.2">
      <c r="C57" s="261" t="s">
        <v>116</v>
      </c>
      <c r="D57" s="263" t="s">
        <v>117</v>
      </c>
      <c r="E57" s="64" t="s">
        <v>76</v>
      </c>
      <c r="F57" s="65">
        <f>F59+F60+F61+F62</f>
        <v>14</v>
      </c>
      <c r="G57" s="65"/>
      <c r="H57" s="65">
        <f>(H66-H54-H56)*(H$31+H$32)/1000</f>
        <v>34.090901999999915</v>
      </c>
      <c r="I57" s="65"/>
      <c r="J57" s="65"/>
      <c r="K57" s="65"/>
      <c r="L57" s="65"/>
      <c r="M57" s="65"/>
      <c r="N57" s="65">
        <f t="shared" ref="N57:S57" si="55">N59+N60+N61+N62</f>
        <v>61.378999999999998</v>
      </c>
      <c r="O57" s="65">
        <f t="shared" ca="1" si="55"/>
        <v>12.21185</v>
      </c>
      <c r="P57" s="65">
        <f t="shared" ca="1" si="55"/>
        <v>8.0580499999999997</v>
      </c>
      <c r="Q57" s="65">
        <f t="shared" ca="1" si="55"/>
        <v>8.4364000000000008</v>
      </c>
      <c r="R57" s="65">
        <f t="shared" ca="1" si="55"/>
        <v>9.0884499999999999</v>
      </c>
      <c r="S57" s="65">
        <f t="shared" si="55"/>
        <v>61.378999999999998</v>
      </c>
      <c r="T57" s="78"/>
      <c r="Y57" s="65">
        <f ca="1">Y59+Y60+Y61+Y62</f>
        <v>26.289954000000002</v>
      </c>
      <c r="Z57" s="65">
        <f t="shared" ref="Z57:AF57" ca="1" si="56">Z59+Z60+Z61+Z62</f>
        <v>28.411641000000003</v>
      </c>
      <c r="AA57" s="65">
        <f t="shared" ca="1" si="56"/>
        <v>31.244508</v>
      </c>
      <c r="AB57" s="65">
        <f t="shared" ca="1" si="56"/>
        <v>34.385553000000009</v>
      </c>
      <c r="AC57" s="65">
        <f t="shared" ca="1" si="56"/>
        <v>37.894041000000009</v>
      </c>
      <c r="AD57" s="65">
        <f t="shared" ca="1" si="56"/>
        <v>41.829237000000006</v>
      </c>
      <c r="AE57" s="65">
        <f t="shared" ca="1" si="56"/>
        <v>56.977371000000005</v>
      </c>
      <c r="AF57" s="65">
        <f t="shared" ca="1" si="56"/>
        <v>69.091137000000003</v>
      </c>
    </row>
    <row r="58" spans="1:32" x14ac:dyDescent="0.2">
      <c r="C58" s="262"/>
      <c r="D58" s="264"/>
      <c r="E58" s="64" t="s">
        <v>108</v>
      </c>
      <c r="F58" s="69">
        <f>IF((F$32+F$31)&lt;&gt;0,ROUND(F57/(F$32+F$31)*1000,2),0)</f>
        <v>17.399999999999999</v>
      </c>
      <c r="G58" s="69"/>
      <c r="H58" s="69">
        <f>IF((H$32+H$31)&lt;&gt;0,ROUND(H57/(H$32+H$31)*1000,2),0)</f>
        <v>42.37</v>
      </c>
      <c r="I58" s="69"/>
      <c r="J58" s="69"/>
      <c r="K58" s="69"/>
      <c r="L58" s="69"/>
      <c r="M58" s="69"/>
      <c r="N58" s="69">
        <f t="shared" ref="N58:S58" si="57">IF((N$32+N$31)&lt;&gt;0,ROUND(N57/(N$32+N$31)*1000,2),0)</f>
        <v>53.31</v>
      </c>
      <c r="O58" s="69">
        <f t="shared" ca="1" si="57"/>
        <v>15.17</v>
      </c>
      <c r="P58" s="69">
        <f t="shared" ca="1" si="57"/>
        <v>10.01</v>
      </c>
      <c r="Q58" s="69">
        <f t="shared" ca="1" si="57"/>
        <v>10.48</v>
      </c>
      <c r="R58" s="69">
        <f t="shared" ca="1" si="57"/>
        <v>11.29</v>
      </c>
      <c r="S58" s="69">
        <f t="shared" si="57"/>
        <v>53.31</v>
      </c>
      <c r="T58" s="70"/>
      <c r="U58" s="71"/>
      <c r="V58" s="71"/>
      <c r="W58" s="3"/>
      <c r="X58" s="3"/>
      <c r="Y58" s="69">
        <f ca="1">IF((Y$32+Y$31)&lt;&gt;0,ROUND(Y57/(Y$32+Y$31)*1000,2),0)</f>
        <v>22.84</v>
      </c>
      <c r="Z58" s="69">
        <f t="shared" ref="Z58:AF58" ca="1" si="58">IF((Z$32+Z$31)&lt;&gt;0,ROUND(Z57/(Z$32+Z$31)*1000,2),0)</f>
        <v>24.68</v>
      </c>
      <c r="AA58" s="69">
        <f t="shared" ca="1" si="58"/>
        <v>27.14</v>
      </c>
      <c r="AB58" s="69">
        <f t="shared" ca="1" si="58"/>
        <v>29.87</v>
      </c>
      <c r="AC58" s="69">
        <f t="shared" ca="1" si="58"/>
        <v>32.909999999999997</v>
      </c>
      <c r="AD58" s="69">
        <f t="shared" ca="1" si="58"/>
        <v>36.33</v>
      </c>
      <c r="AE58" s="69">
        <f t="shared" ca="1" si="58"/>
        <v>49.49</v>
      </c>
      <c r="AF58" s="69">
        <f t="shared" ca="1" si="58"/>
        <v>60.01</v>
      </c>
    </row>
    <row r="59" spans="1:32" outlineLevel="1" x14ac:dyDescent="0.2">
      <c r="C59" s="25"/>
      <c r="D59" s="79" t="s">
        <v>118</v>
      </c>
      <c r="E59" s="25" t="s">
        <v>76</v>
      </c>
      <c r="F59" s="80"/>
      <c r="G59" s="81"/>
      <c r="H59" s="80"/>
      <c r="I59" s="81"/>
      <c r="J59" s="81"/>
      <c r="K59" s="81"/>
      <c r="L59" s="81"/>
      <c r="M59" s="81"/>
      <c r="N59" s="80"/>
      <c r="O59" s="80"/>
      <c r="P59" s="81"/>
      <c r="Q59" s="81"/>
      <c r="R59" s="81"/>
      <c r="S59" s="80"/>
      <c r="Y59" s="81"/>
      <c r="Z59" s="29"/>
      <c r="AA59" s="29"/>
      <c r="AB59" s="29"/>
      <c r="AC59" s="29"/>
      <c r="AD59" s="29"/>
      <c r="AE59" s="29"/>
      <c r="AF59" s="29"/>
    </row>
    <row r="60" spans="1:32" outlineLevel="1" x14ac:dyDescent="0.2">
      <c r="C60" s="25"/>
      <c r="D60" s="79" t="s">
        <v>119</v>
      </c>
      <c r="E60" s="25" t="s">
        <v>76</v>
      </c>
      <c r="F60" s="80"/>
      <c r="G60" s="81"/>
      <c r="H60" s="80"/>
      <c r="I60" s="81"/>
      <c r="J60" s="81"/>
      <c r="K60" s="81"/>
      <c r="L60" s="81"/>
      <c r="M60" s="81"/>
      <c r="N60" s="80"/>
      <c r="O60" s="80"/>
      <c r="P60" s="81"/>
      <c r="Q60" s="81"/>
      <c r="R60" s="81"/>
      <c r="S60" s="80"/>
      <c r="Y60" s="81"/>
      <c r="Z60" s="29"/>
      <c r="AA60" s="29"/>
      <c r="AB60" s="29"/>
      <c r="AC60" s="29"/>
      <c r="AD60" s="29"/>
      <c r="AE60" s="29"/>
      <c r="AF60" s="29"/>
    </row>
    <row r="61" spans="1:32" outlineLevel="1" x14ac:dyDescent="0.2">
      <c r="C61" s="25"/>
      <c r="D61" s="79" t="s">
        <v>120</v>
      </c>
      <c r="E61" s="25" t="s">
        <v>76</v>
      </c>
      <c r="F61" s="80"/>
      <c r="G61" s="81"/>
      <c r="H61" s="80"/>
      <c r="I61" s="81"/>
      <c r="J61" s="81"/>
      <c r="K61" s="81"/>
      <c r="L61" s="81"/>
      <c r="M61" s="81"/>
      <c r="N61" s="80"/>
      <c r="O61" s="80"/>
      <c r="P61" s="81"/>
      <c r="Q61" s="81"/>
      <c r="R61" s="81"/>
      <c r="S61" s="80"/>
      <c r="Y61" s="81"/>
      <c r="Z61" s="29"/>
      <c r="AA61" s="29"/>
      <c r="AB61" s="29"/>
      <c r="AC61" s="29"/>
      <c r="AD61" s="29"/>
      <c r="AE61" s="29"/>
      <c r="AF61" s="29"/>
    </row>
    <row r="62" spans="1:32" outlineLevel="1" x14ac:dyDescent="0.2">
      <c r="C62" s="25"/>
      <c r="D62" s="79" t="s">
        <v>121</v>
      </c>
      <c r="E62" s="25" t="s">
        <v>76</v>
      </c>
      <c r="F62" s="82">
        <f>F63+F64</f>
        <v>14</v>
      </c>
      <c r="G62" s="83"/>
      <c r="H62" s="82">
        <f>H63+H64</f>
        <v>0</v>
      </c>
      <c r="I62" s="83"/>
      <c r="J62" s="83"/>
      <c r="K62" s="83"/>
      <c r="L62" s="83"/>
      <c r="M62" s="83"/>
      <c r="N62" s="82">
        <f t="shared" ref="N62:R62" si="59">N63+N64</f>
        <v>61.378999999999998</v>
      </c>
      <c r="O62" s="82">
        <f t="shared" ca="1" si="59"/>
        <v>12.21185</v>
      </c>
      <c r="P62" s="82">
        <f t="shared" ca="1" si="59"/>
        <v>8.0580499999999997</v>
      </c>
      <c r="Q62" s="82">
        <f t="shared" ca="1" si="59"/>
        <v>8.4364000000000008</v>
      </c>
      <c r="R62" s="82">
        <f t="shared" ca="1" si="59"/>
        <v>9.0884499999999999</v>
      </c>
      <c r="S62" s="82">
        <f>S63+S64</f>
        <v>61.378999999999998</v>
      </c>
      <c r="Y62" s="82">
        <f ca="1">Y63+Y64</f>
        <v>26.289954000000002</v>
      </c>
      <c r="Z62" s="82">
        <f t="shared" ref="Z62:AF62" ca="1" si="60">Z63+Z64</f>
        <v>28.411641000000003</v>
      </c>
      <c r="AA62" s="82">
        <f t="shared" ca="1" si="60"/>
        <v>31.244508</v>
      </c>
      <c r="AB62" s="82">
        <f t="shared" ca="1" si="60"/>
        <v>34.385553000000009</v>
      </c>
      <c r="AC62" s="82">
        <f t="shared" ca="1" si="60"/>
        <v>37.894041000000009</v>
      </c>
      <c r="AD62" s="82">
        <f t="shared" ca="1" si="60"/>
        <v>41.829237000000006</v>
      </c>
      <c r="AE62" s="82">
        <f t="shared" ca="1" si="60"/>
        <v>56.977371000000005</v>
      </c>
      <c r="AF62" s="82">
        <f t="shared" ca="1" si="60"/>
        <v>69.091137000000003</v>
      </c>
    </row>
    <row r="63" spans="1:32" outlineLevel="1" x14ac:dyDescent="0.2">
      <c r="C63" s="25"/>
      <c r="D63" s="79" t="s">
        <v>122</v>
      </c>
      <c r="E63" s="25" t="s">
        <v>76</v>
      </c>
      <c r="F63" s="83">
        <f t="shared" ref="F63:Q63" si="61">(F59+F60+F61)*0.2/0.8</f>
        <v>0</v>
      </c>
      <c r="G63" s="83">
        <f t="shared" si="61"/>
        <v>0</v>
      </c>
      <c r="H63" s="83"/>
      <c r="I63" s="83">
        <f t="shared" si="61"/>
        <v>0</v>
      </c>
      <c r="J63" s="83">
        <f t="shared" si="61"/>
        <v>0</v>
      </c>
      <c r="K63" s="83">
        <f t="shared" si="61"/>
        <v>0</v>
      </c>
      <c r="L63" s="83">
        <f t="shared" si="61"/>
        <v>0</v>
      </c>
      <c r="M63" s="83">
        <f t="shared" si="61"/>
        <v>0</v>
      </c>
      <c r="N63" s="83">
        <f t="shared" si="61"/>
        <v>0</v>
      </c>
      <c r="O63" s="83">
        <f t="shared" si="61"/>
        <v>0</v>
      </c>
      <c r="P63" s="83">
        <f t="shared" si="61"/>
        <v>0</v>
      </c>
      <c r="Q63" s="83">
        <f t="shared" si="61"/>
        <v>0</v>
      </c>
      <c r="R63" s="83">
        <f>(R59+R60+R61)*0.2/0.8</f>
        <v>0</v>
      </c>
      <c r="S63" s="83">
        <f t="shared" ref="S63" si="62">(S59+S60+S61)*0.2/0.8</f>
        <v>0</v>
      </c>
      <c r="Y63" s="83">
        <f>(Y59+Y60+Y61)*0.2/0.8</f>
        <v>0</v>
      </c>
      <c r="Z63" s="83">
        <f t="shared" ref="Z63:AF63" si="63">(Z59+Z60+Z61)*0.2/0.8</f>
        <v>0</v>
      </c>
      <c r="AA63" s="83">
        <f t="shared" si="63"/>
        <v>0</v>
      </c>
      <c r="AB63" s="83">
        <f t="shared" si="63"/>
        <v>0</v>
      </c>
      <c r="AC63" s="83">
        <f t="shared" si="63"/>
        <v>0</v>
      </c>
      <c r="AD63" s="83">
        <f t="shared" si="63"/>
        <v>0</v>
      </c>
      <c r="AE63" s="83">
        <f t="shared" si="63"/>
        <v>0</v>
      </c>
      <c r="AF63" s="83">
        <f t="shared" si="63"/>
        <v>0</v>
      </c>
    </row>
    <row r="64" spans="1:32" outlineLevel="1" x14ac:dyDescent="0.2">
      <c r="C64" s="25"/>
      <c r="D64" s="79" t="s">
        <v>123</v>
      </c>
      <c r="E64" s="25" t="s">
        <v>76</v>
      </c>
      <c r="F64" s="80">
        <v>14</v>
      </c>
      <c r="G64" s="81"/>
      <c r="H64" s="80"/>
      <c r="I64" s="81"/>
      <c r="J64" s="81"/>
      <c r="K64" s="81"/>
      <c r="L64" s="81"/>
      <c r="M64" s="81"/>
      <c r="N64" s="81">
        <v>61.378999999999998</v>
      </c>
      <c r="O64" s="81">
        <f t="shared" ref="O64:X64" ca="1" si="64">O66*O29/1000*1%</f>
        <v>12.21185</v>
      </c>
      <c r="P64" s="81">
        <f t="shared" ca="1" si="64"/>
        <v>8.0580499999999997</v>
      </c>
      <c r="Q64" s="81">
        <f t="shared" ca="1" si="64"/>
        <v>8.4364000000000008</v>
      </c>
      <c r="R64" s="81">
        <f t="shared" ca="1" si="64"/>
        <v>9.0884499999999999</v>
      </c>
      <c r="S64" s="81">
        <v>61.378999999999998</v>
      </c>
      <c r="T64" s="81">
        <f t="shared" si="64"/>
        <v>0</v>
      </c>
      <c r="U64" s="81">
        <f t="shared" si="64"/>
        <v>0</v>
      </c>
      <c r="V64" s="81">
        <f t="shared" si="64"/>
        <v>0</v>
      </c>
      <c r="W64" s="81">
        <f t="shared" si="64"/>
        <v>0</v>
      </c>
      <c r="X64" s="81">
        <f t="shared" si="64"/>
        <v>0</v>
      </c>
      <c r="Y64" s="81">
        <f ca="1">Y66*Y29/1000*1%</f>
        <v>26.289954000000002</v>
      </c>
      <c r="Z64" s="81">
        <f ca="1">Z66*Z29/1000*1%</f>
        <v>28.411641000000003</v>
      </c>
      <c r="AA64" s="81">
        <f t="shared" ref="AA64:AF64" ca="1" si="65">AA66*AA29/1000*1%</f>
        <v>31.244508</v>
      </c>
      <c r="AB64" s="81">
        <f t="shared" ca="1" si="65"/>
        <v>34.385553000000009</v>
      </c>
      <c r="AC64" s="81">
        <f t="shared" ca="1" si="65"/>
        <v>37.894041000000009</v>
      </c>
      <c r="AD64" s="81">
        <f t="shared" ca="1" si="65"/>
        <v>41.829237000000006</v>
      </c>
      <c r="AE64" s="81">
        <f t="shared" ca="1" si="65"/>
        <v>56.977371000000005</v>
      </c>
      <c r="AF64" s="81">
        <f t="shared" ca="1" si="65"/>
        <v>69.091137000000003</v>
      </c>
    </row>
    <row r="65" spans="3:32" ht="20.25" customHeight="1" x14ac:dyDescent="0.2">
      <c r="C65" s="84"/>
      <c r="D65" s="85" t="s">
        <v>124</v>
      </c>
      <c r="E65" s="86" t="s">
        <v>76</v>
      </c>
      <c r="F65" s="87">
        <f>(F50+F56)*(F31+F32)/1000+F51+F57</f>
        <v>1165.4606259999998</v>
      </c>
      <c r="G65" s="87"/>
      <c r="H65" s="87">
        <f>H66*(H31+H32)/1000</f>
        <v>1165.0608</v>
      </c>
      <c r="I65" s="87"/>
      <c r="J65" s="87"/>
      <c r="K65" s="87"/>
      <c r="L65" s="87"/>
      <c r="M65" s="87"/>
      <c r="N65" s="87">
        <f t="shared" ref="N65:S65" si="66">(N50+N56)*(N31+N32)/1000+N51+N57</f>
        <v>2378.8847620000006</v>
      </c>
      <c r="O65" s="87">
        <f t="shared" ca="1" si="66"/>
        <v>1220.9998499999999</v>
      </c>
      <c r="P65" s="87">
        <f t="shared" ca="1" si="66"/>
        <v>805.79695000000004</v>
      </c>
      <c r="Q65" s="87">
        <f t="shared" ca="1" si="66"/>
        <v>843.35020000000009</v>
      </c>
      <c r="R65" s="87">
        <f t="shared" ca="1" si="66"/>
        <v>908.70814999999993</v>
      </c>
      <c r="S65" s="87">
        <f t="shared" si="66"/>
        <v>2378.8847620000006</v>
      </c>
      <c r="Y65" s="87">
        <f ca="1">(Y50+Y56)*(Y31+Y32)/1000+Y51+Y57</f>
        <v>2553.705156</v>
      </c>
      <c r="Z65" s="87">
        <f t="shared" ref="Z65:AF65" ca="1" si="67">(Z50+Z56)*(Z31+Z32)/1000+Z51+Z57</f>
        <v>2759.9888180000007</v>
      </c>
      <c r="AA65" s="87">
        <f t="shared" ca="1" si="67"/>
        <v>3034.4999848000011</v>
      </c>
      <c r="AB65" s="87">
        <f t="shared" ca="1" si="67"/>
        <v>3339.6403770384004</v>
      </c>
      <c r="AC65" s="87">
        <f t="shared" ca="1" si="67"/>
        <v>3680.796408001012</v>
      </c>
      <c r="AD65" s="87">
        <f t="shared" ca="1" si="67"/>
        <v>4062.6919879530801</v>
      </c>
      <c r="AE65" s="87">
        <f t="shared" ca="1" si="67"/>
        <v>5534.2002257632266</v>
      </c>
      <c r="AF65" s="87">
        <f t="shared" ca="1" si="67"/>
        <v>6711.3750585900807</v>
      </c>
    </row>
    <row r="66" spans="3:32" x14ac:dyDescent="0.2">
      <c r="C66" s="88"/>
      <c r="D66" s="89" t="s">
        <v>125</v>
      </c>
      <c r="E66" s="86" t="s">
        <v>108</v>
      </c>
      <c r="F66" s="90">
        <f>IF(F29&lt;&gt;0,ROUND(F65/(F31+F32)*1000,0),0)</f>
        <v>1448</v>
      </c>
      <c r="G66" s="90"/>
      <c r="H66" s="90">
        <f>F66</f>
        <v>1448</v>
      </c>
      <c r="I66" s="90"/>
      <c r="J66" s="90"/>
      <c r="K66" s="90"/>
      <c r="L66" s="90"/>
      <c r="M66" s="90"/>
      <c r="N66" s="90">
        <f t="shared" ref="N66:S66" si="68">IF(N29&lt;&gt;0,ROUND(N65/(N31+N32)*1000,0),0)</f>
        <v>2066</v>
      </c>
      <c r="O66" s="90">
        <f t="shared" ca="1" si="68"/>
        <v>1517</v>
      </c>
      <c r="P66" s="90">
        <f t="shared" ca="1" si="68"/>
        <v>1001</v>
      </c>
      <c r="Q66" s="90">
        <f t="shared" ca="1" si="68"/>
        <v>1048</v>
      </c>
      <c r="R66" s="90">
        <f t="shared" ca="1" si="68"/>
        <v>1129</v>
      </c>
      <c r="S66" s="90">
        <f t="shared" si="68"/>
        <v>2066</v>
      </c>
      <c r="Y66" s="90">
        <f ca="1">IF(Y29&lt;&gt;0,ROUND(Y65/(Y31+Y32)*1000,0),0)</f>
        <v>2218</v>
      </c>
      <c r="Z66" s="90">
        <f t="shared" ref="Z66:AF66" ca="1" si="69">IF(Z29&lt;&gt;0,ROUND(Z65/(Z31+Z32)*1000,0),0)</f>
        <v>2397</v>
      </c>
      <c r="AA66" s="90">
        <f t="shared" ca="1" si="69"/>
        <v>2636</v>
      </c>
      <c r="AB66" s="90">
        <f t="shared" ca="1" si="69"/>
        <v>2901</v>
      </c>
      <c r="AC66" s="90">
        <f t="shared" ca="1" si="69"/>
        <v>3197</v>
      </c>
      <c r="AD66" s="90">
        <f t="shared" ca="1" si="69"/>
        <v>3529</v>
      </c>
      <c r="AE66" s="90">
        <f t="shared" ca="1" si="69"/>
        <v>4807</v>
      </c>
      <c r="AF66" s="90">
        <f t="shared" ca="1" si="69"/>
        <v>5829</v>
      </c>
    </row>
    <row r="67" spans="3:32" x14ac:dyDescent="0.2">
      <c r="C67" s="58"/>
      <c r="D67" s="91" t="s">
        <v>126</v>
      </c>
      <c r="E67" s="20" t="s">
        <v>41</v>
      </c>
      <c r="F67" s="76"/>
      <c r="G67" s="92"/>
      <c r="H67" s="93"/>
      <c r="I67" s="92"/>
      <c r="J67" s="92"/>
      <c r="K67" s="92"/>
      <c r="L67" s="92"/>
      <c r="M67" s="92"/>
      <c r="N67" s="94">
        <f>IF(F66&lt;&gt;0,N66/F66*100,"-")</f>
        <v>142.67955801104972</v>
      </c>
      <c r="O67" s="94">
        <f ca="1">IF(N66&lt;&gt;0,O66/N66*100,"-")</f>
        <v>73.426911907066795</v>
      </c>
      <c r="P67" s="95">
        <f ca="1">IF(N66&lt;&gt;0,P66/N66*100,"-")</f>
        <v>48.451113262342695</v>
      </c>
      <c r="Q67" s="95">
        <f ca="1">IF(P66&lt;&gt;0,Q66/P66*100,"-")</f>
        <v>104.6953046953047</v>
      </c>
      <c r="R67" s="95">
        <f ca="1">IF(Q66&lt;&gt;0,R66/Q66*100,"-")</f>
        <v>107.7290076335878</v>
      </c>
      <c r="S67" s="94" t="str">
        <f>IF(K66&lt;&gt;0,S66/K66*100,"-")</f>
        <v>-</v>
      </c>
      <c r="Y67" s="95" t="str">
        <f>IF(X66&lt;&gt;0,Y66/X66*100,"-")</f>
        <v>-</v>
      </c>
      <c r="Z67" s="95">
        <f ca="1">IF(Y66&lt;&gt;0,Z66/E7*100,"-")</f>
        <v>109.8030233623454</v>
      </c>
      <c r="AA67" s="95">
        <f t="shared" ref="AA67:AF67" ca="1" si="70">IF(Z66&lt;&gt;0,AA66/Z66*100,"-")</f>
        <v>109.97079682937006</v>
      </c>
      <c r="AB67" s="95">
        <f t="shared" ca="1" si="70"/>
        <v>110.05311077389986</v>
      </c>
      <c r="AC67" s="95">
        <f t="shared" ca="1" si="70"/>
        <v>110.20337814546708</v>
      </c>
      <c r="AD67" s="95">
        <f t="shared" ca="1" si="70"/>
        <v>110.3847356897091</v>
      </c>
      <c r="AE67" s="95">
        <f t="shared" ca="1" si="70"/>
        <v>136.21422499291583</v>
      </c>
      <c r="AF67" s="95">
        <f t="shared" ca="1" si="70"/>
        <v>121.26066153526108</v>
      </c>
    </row>
    <row r="68" spans="3:32" x14ac:dyDescent="0.2">
      <c r="C68" s="96"/>
      <c r="D68" s="97" t="s">
        <v>127</v>
      </c>
      <c r="E68" s="98" t="s">
        <v>76</v>
      </c>
      <c r="F68" s="99">
        <f>F49+F51+F55+F57</f>
        <v>1165.46</v>
      </c>
      <c r="G68" s="99"/>
      <c r="H68" s="99"/>
      <c r="I68" s="99"/>
      <c r="J68" s="99"/>
      <c r="K68" s="99"/>
      <c r="L68" s="99"/>
      <c r="M68" s="99"/>
      <c r="N68" s="99">
        <f t="shared" ref="N68:R68" si="71">N49+N51+N55+N57</f>
        <v>2442.357</v>
      </c>
      <c r="O68" s="99">
        <f t="shared" ca="1" si="71"/>
        <v>1221.0018499999999</v>
      </c>
      <c r="P68" s="99">
        <f t="shared" ca="1" si="71"/>
        <v>805.79804999999999</v>
      </c>
      <c r="Q68" s="99">
        <f t="shared" ca="1" si="71"/>
        <v>843.34640000000002</v>
      </c>
      <c r="R68" s="99">
        <f t="shared" ca="1" si="71"/>
        <v>908.70844999999997</v>
      </c>
      <c r="S68" s="99">
        <f t="shared" ref="S68" si="72">S49+S51+S55+S57</f>
        <v>2442.357</v>
      </c>
      <c r="Y68" s="99">
        <f t="shared" ref="Y68:AF68" ca="1" si="73">Y49+Y51+Y55+Y57</f>
        <v>2621.5499539999996</v>
      </c>
      <c r="Z68" s="99">
        <f t="shared" ca="1" si="73"/>
        <v>2833.4082410000001</v>
      </c>
      <c r="AA68" s="99">
        <f t="shared" ca="1" si="73"/>
        <v>3115.4409968</v>
      </c>
      <c r="AB68" s="99">
        <f t="shared" ca="1" si="73"/>
        <v>3428.9775230383998</v>
      </c>
      <c r="AC68" s="99">
        <f t="shared" ca="1" si="73"/>
        <v>3779.5443050010113</v>
      </c>
      <c r="AD68" s="99">
        <f t="shared" ca="1" si="73"/>
        <v>4172.0030789530801</v>
      </c>
      <c r="AE68" s="99">
        <f t="shared" ca="1" si="73"/>
        <v>5684.5391197632262</v>
      </c>
      <c r="AF68" s="99">
        <f t="shared" ca="1" si="73"/>
        <v>6894.5185305900786</v>
      </c>
    </row>
    <row r="69" spans="3:32" x14ac:dyDescent="0.2">
      <c r="C69" s="96"/>
      <c r="D69" s="100"/>
      <c r="E69" s="101"/>
      <c r="F69" s="99"/>
      <c r="G69" s="102"/>
      <c r="H69" s="103"/>
      <c r="I69" s="102"/>
      <c r="J69" s="102"/>
      <c r="K69" s="102"/>
      <c r="L69" s="102"/>
      <c r="M69" s="102"/>
      <c r="N69" s="104"/>
      <c r="O69" s="105"/>
      <c r="P69" s="106"/>
      <c r="Q69" s="106"/>
      <c r="R69" s="106"/>
      <c r="S69" s="106"/>
    </row>
    <row r="70" spans="3:32" hidden="1" x14ac:dyDescent="0.2">
      <c r="C70" s="96"/>
      <c r="D70" s="271" t="s">
        <v>128</v>
      </c>
      <c r="E70" s="271"/>
      <c r="F70" s="99"/>
      <c r="G70" s="99"/>
      <c r="H70" s="99"/>
      <c r="I70" s="102"/>
      <c r="J70" s="102"/>
      <c r="K70" s="102"/>
      <c r="L70" s="102"/>
      <c r="M70" s="102"/>
      <c r="N70" s="104"/>
      <c r="O70" s="260"/>
      <c r="P70" s="260"/>
      <c r="Q70" s="260"/>
      <c r="R70" s="260"/>
      <c r="S70" s="260"/>
    </row>
    <row r="71" spans="3:32" hidden="1" x14ac:dyDescent="0.2">
      <c r="C71" s="96"/>
      <c r="E71" s="101"/>
      <c r="F71" s="99"/>
      <c r="G71" s="99"/>
      <c r="H71" s="99"/>
      <c r="I71" s="102"/>
      <c r="J71" s="102"/>
      <c r="K71" s="102"/>
      <c r="L71" s="102"/>
      <c r="M71" s="102"/>
      <c r="N71" s="104"/>
      <c r="O71" s="105"/>
      <c r="P71" s="106"/>
      <c r="Q71" s="106"/>
      <c r="R71" s="106"/>
      <c r="S71" s="106"/>
    </row>
    <row r="72" spans="3:32" hidden="1" x14ac:dyDescent="0.2">
      <c r="C72" s="96"/>
      <c r="D72" s="257"/>
      <c r="E72" s="257"/>
      <c r="F72" s="99"/>
      <c r="G72" s="99"/>
      <c r="H72" s="99"/>
      <c r="I72" s="102"/>
      <c r="J72" s="102"/>
      <c r="K72" s="102"/>
      <c r="L72" s="102"/>
      <c r="M72" s="102"/>
      <c r="N72" s="104"/>
      <c r="O72" s="256"/>
      <c r="P72" s="256"/>
      <c r="Q72" s="256"/>
      <c r="R72" s="256"/>
      <c r="S72" s="256"/>
    </row>
    <row r="73" spans="3:32" hidden="1" x14ac:dyDescent="0.2">
      <c r="C73" s="96"/>
      <c r="D73" s="107"/>
      <c r="E73" s="101"/>
      <c r="F73" s="99"/>
      <c r="G73" s="102"/>
      <c r="H73" s="103"/>
      <c r="I73" s="102"/>
      <c r="J73" s="102"/>
      <c r="K73" s="102"/>
      <c r="L73" s="102"/>
      <c r="M73" s="102"/>
      <c r="N73" s="104"/>
      <c r="O73" s="105"/>
      <c r="P73" s="106"/>
      <c r="Q73" s="106"/>
      <c r="R73" s="106"/>
      <c r="S73" s="106"/>
    </row>
    <row r="74" spans="3:32" hidden="1" x14ac:dyDescent="0.2">
      <c r="C74" s="96"/>
      <c r="D74" s="257"/>
      <c r="E74" s="257"/>
      <c r="F74" s="99"/>
      <c r="G74" s="102"/>
      <c r="H74" s="103"/>
      <c r="I74" s="102"/>
      <c r="J74" s="102"/>
      <c r="K74" s="102"/>
      <c r="L74" s="102"/>
      <c r="M74" s="102"/>
      <c r="N74" s="104"/>
      <c r="O74" s="256"/>
      <c r="P74" s="256"/>
      <c r="Q74" s="256"/>
      <c r="R74" s="256"/>
      <c r="S74" s="256"/>
    </row>
    <row r="75" spans="3:32" x14ac:dyDescent="0.2">
      <c r="C75" s="108">
        <f>C37</f>
        <v>1</v>
      </c>
      <c r="D75" s="109" t="str">
        <f>D37</f>
        <v>Топливо на технологические цели</v>
      </c>
      <c r="E75" s="110" t="str">
        <f>E37</f>
        <v>тыс.руб.</v>
      </c>
      <c r="F75" s="111">
        <f>F37</f>
        <v>394.61619999999999</v>
      </c>
      <c r="G75" s="111"/>
      <c r="H75" s="111">
        <f>H37</f>
        <v>364.07357999999999</v>
      </c>
      <c r="I75" s="111"/>
      <c r="J75" s="111"/>
      <c r="K75" s="111"/>
      <c r="L75" s="111"/>
      <c r="M75" s="111"/>
      <c r="N75" s="111">
        <f>N37</f>
        <v>747.02771513120422</v>
      </c>
      <c r="O75" s="111">
        <f t="shared" ref="O75:S75" si="74">O37</f>
        <v>0</v>
      </c>
      <c r="P75" s="111">
        <f t="shared" si="74"/>
        <v>0</v>
      </c>
      <c r="Q75" s="111">
        <f t="shared" si="74"/>
        <v>0</v>
      </c>
      <c r="R75" s="111">
        <f t="shared" si="74"/>
        <v>0</v>
      </c>
      <c r="S75" s="111">
        <f t="shared" si="74"/>
        <v>747.02771513120422</v>
      </c>
      <c r="T75" s="112"/>
      <c r="Y75" s="111">
        <f>Y37</f>
        <v>927.70389113829697</v>
      </c>
      <c r="Z75" s="111">
        <f t="shared" ref="Z75:AF75" si="75">Z37</f>
        <v>1058.0381535302697</v>
      </c>
      <c r="AA75" s="111">
        <f t="shared" si="75"/>
        <v>1207.3227054340819</v>
      </c>
      <c r="AB75" s="111">
        <f t="shared" si="75"/>
        <v>1378.3593004869165</v>
      </c>
      <c r="AC75" s="111">
        <f t="shared" si="75"/>
        <v>1574.3671816658409</v>
      </c>
      <c r="AD75" s="111">
        <f t="shared" si="75"/>
        <v>1799.0455160768051</v>
      </c>
      <c r="AE75" s="111">
        <f t="shared" si="75"/>
        <v>2721.2024941955201</v>
      </c>
      <c r="AF75" s="111">
        <f t="shared" si="75"/>
        <v>3457.8176909480489</v>
      </c>
    </row>
    <row r="76" spans="3:32" x14ac:dyDescent="0.2">
      <c r="C76" s="58"/>
      <c r="D76" s="50" t="s">
        <v>129</v>
      </c>
      <c r="E76" s="113" t="s">
        <v>130</v>
      </c>
      <c r="F76" s="114">
        <f>F81+F87+F93+F101+F97+F112</f>
        <v>0</v>
      </c>
      <c r="G76" s="114"/>
      <c r="H76" s="114">
        <f>H81+H87+H93+H101+H97+H112</f>
        <v>0</v>
      </c>
      <c r="I76" s="114"/>
      <c r="J76" s="114"/>
      <c r="K76" s="114"/>
      <c r="L76" s="114"/>
      <c r="M76" s="114"/>
      <c r="N76" s="114">
        <f>N81+N87+N93+N101+N97+N112</f>
        <v>226.60165000000001</v>
      </c>
      <c r="O76" s="114">
        <f t="shared" ref="O76:S76" si="76">O81+O87+O93+O101+O97+O112</f>
        <v>0</v>
      </c>
      <c r="P76" s="114">
        <f t="shared" si="76"/>
        <v>0</v>
      </c>
      <c r="Q76" s="114">
        <f t="shared" si="76"/>
        <v>0</v>
      </c>
      <c r="R76" s="114">
        <f t="shared" si="76"/>
        <v>0</v>
      </c>
      <c r="S76" s="114">
        <f t="shared" si="76"/>
        <v>226.60165000000001</v>
      </c>
      <c r="T76" s="115">
        <f>P76/P26*1000</f>
        <v>0</v>
      </c>
      <c r="Y76" s="114">
        <f>Y81+Y87+Y93+Y101+Y97+Y112</f>
        <v>226.60165000000001</v>
      </c>
      <c r="Z76" s="114">
        <f t="shared" ref="Z76:AF76" si="77">Z81+Z87+Z93+Z101+Z97+Z112</f>
        <v>226.60165000000001</v>
      </c>
      <c r="AA76" s="114">
        <f t="shared" si="77"/>
        <v>226.60165000000001</v>
      </c>
      <c r="AB76" s="114">
        <f t="shared" si="77"/>
        <v>226.60165000000001</v>
      </c>
      <c r="AC76" s="114">
        <f t="shared" si="77"/>
        <v>226.60165000000001</v>
      </c>
      <c r="AD76" s="114">
        <f t="shared" si="77"/>
        <v>226.60165000000001</v>
      </c>
      <c r="AE76" s="114">
        <f t="shared" si="77"/>
        <v>226.60165000000001</v>
      </c>
      <c r="AF76" s="114">
        <f t="shared" si="77"/>
        <v>226.60165000000001</v>
      </c>
    </row>
    <row r="77" spans="3:32" x14ac:dyDescent="0.2">
      <c r="C77" s="58"/>
      <c r="D77" s="116" t="s">
        <v>131</v>
      </c>
      <c r="E77" s="113" t="s">
        <v>132</v>
      </c>
      <c r="F77" s="117">
        <f>IF(F15&lt;&gt;0,F76/F15,"-")</f>
        <v>0</v>
      </c>
      <c r="G77" s="117"/>
      <c r="H77" s="117">
        <f>IF(H15&lt;&gt;0,H76/H15,"-")</f>
        <v>0</v>
      </c>
      <c r="I77" s="117"/>
      <c r="J77" s="117"/>
      <c r="K77" s="117"/>
      <c r="L77" s="117"/>
      <c r="M77" s="117"/>
      <c r="N77" s="117">
        <f>IF(N15&lt;&gt;0,N76/N15,"-")</f>
        <v>0.1595</v>
      </c>
      <c r="O77" s="117">
        <f t="shared" ref="O77:S77" si="78">IF(O15&lt;&gt;0,O76/O15,"-")</f>
        <v>0</v>
      </c>
      <c r="P77" s="117">
        <f t="shared" si="78"/>
        <v>0</v>
      </c>
      <c r="Q77" s="117">
        <f t="shared" si="78"/>
        <v>0</v>
      </c>
      <c r="R77" s="117">
        <f t="shared" si="78"/>
        <v>0</v>
      </c>
      <c r="S77" s="117">
        <f t="shared" si="78"/>
        <v>0.1595</v>
      </c>
      <c r="T77" s="118"/>
      <c r="Y77" s="117">
        <f>IF(Y15&lt;&gt;0,Y76/Y15,0)</f>
        <v>0.1595</v>
      </c>
      <c r="Z77" s="117">
        <f t="shared" ref="Z77:AF77" si="79">IF(Z15&lt;&gt;0,Z76/Z15,0)</f>
        <v>0.1595</v>
      </c>
      <c r="AA77" s="117">
        <f t="shared" si="79"/>
        <v>0.1595</v>
      </c>
      <c r="AB77" s="117">
        <f t="shared" si="79"/>
        <v>0.1595</v>
      </c>
      <c r="AC77" s="117">
        <f t="shared" si="79"/>
        <v>0.1595</v>
      </c>
      <c r="AD77" s="117">
        <f t="shared" si="79"/>
        <v>0.1595</v>
      </c>
      <c r="AE77" s="117">
        <f t="shared" si="79"/>
        <v>0.1595</v>
      </c>
      <c r="AF77" s="117">
        <f t="shared" si="79"/>
        <v>0.1595</v>
      </c>
    </row>
    <row r="78" spans="3:32" x14ac:dyDescent="0.2">
      <c r="C78" s="58"/>
      <c r="D78" s="119" t="s">
        <v>133</v>
      </c>
      <c r="E78" s="120" t="s">
        <v>134</v>
      </c>
      <c r="F78" s="121">
        <f>F79+F80</f>
        <v>0</v>
      </c>
      <c r="G78" s="121"/>
      <c r="H78" s="121">
        <f>H79+H80</f>
        <v>0</v>
      </c>
      <c r="I78" s="121"/>
      <c r="J78" s="121"/>
      <c r="K78" s="121"/>
      <c r="L78" s="121"/>
      <c r="M78" s="121"/>
      <c r="N78" s="121">
        <f>N79+N80</f>
        <v>198.47179</v>
      </c>
      <c r="O78" s="121">
        <f t="shared" ref="O78:S78" si="80">O79+O80</f>
        <v>0</v>
      </c>
      <c r="P78" s="121">
        <f t="shared" si="80"/>
        <v>0</v>
      </c>
      <c r="Q78" s="121">
        <f t="shared" si="80"/>
        <v>0</v>
      </c>
      <c r="R78" s="121">
        <f t="shared" si="80"/>
        <v>0</v>
      </c>
      <c r="S78" s="121">
        <f t="shared" si="80"/>
        <v>198.47179</v>
      </c>
      <c r="T78" s="112"/>
      <c r="Y78" s="122">
        <f>IF(Y$16&lt;&gt;0,Y$16*Y84,0)</f>
        <v>198.47179</v>
      </c>
      <c r="Z78" s="122">
        <f t="shared" ref="Z78:AF78" si="81">IF(Z$16&lt;&gt;0,Z$16*Z84,0)</f>
        <v>198.47179</v>
      </c>
      <c r="AA78" s="122">
        <f t="shared" si="81"/>
        <v>198.47179</v>
      </c>
      <c r="AB78" s="122">
        <f t="shared" si="81"/>
        <v>198.47179</v>
      </c>
      <c r="AC78" s="122">
        <f t="shared" si="81"/>
        <v>198.47179</v>
      </c>
      <c r="AD78" s="122">
        <f t="shared" si="81"/>
        <v>198.47179</v>
      </c>
      <c r="AE78" s="122">
        <f t="shared" si="81"/>
        <v>198.47179</v>
      </c>
      <c r="AF78" s="122">
        <f t="shared" si="81"/>
        <v>198.47179</v>
      </c>
    </row>
    <row r="79" spans="3:32" x14ac:dyDescent="0.2">
      <c r="C79" s="58"/>
      <c r="D79" s="116" t="s">
        <v>135</v>
      </c>
      <c r="E79" s="113" t="s">
        <v>134</v>
      </c>
      <c r="F79" s="123"/>
      <c r="G79" s="123"/>
      <c r="H79" s="123"/>
      <c r="I79" s="123"/>
      <c r="J79" s="123"/>
      <c r="K79" s="123"/>
      <c r="L79" s="123"/>
      <c r="M79" s="123"/>
      <c r="N79" s="123">
        <v>198.47179</v>
      </c>
      <c r="O79" s="123"/>
      <c r="P79" s="123"/>
      <c r="Q79" s="123"/>
      <c r="R79" s="123"/>
      <c r="S79" s="123">
        <v>198.47179</v>
      </c>
      <c r="T79" s="112"/>
      <c r="Y79" s="123">
        <v>198.47179</v>
      </c>
      <c r="Z79" s="123">
        <v>198.47179</v>
      </c>
      <c r="AA79" s="123">
        <v>198.47179</v>
      </c>
      <c r="AB79" s="123">
        <v>198.47179</v>
      </c>
      <c r="AC79" s="123">
        <v>198.47179</v>
      </c>
      <c r="AD79" s="123">
        <v>198.47179</v>
      </c>
      <c r="AE79" s="123">
        <v>198.47179</v>
      </c>
      <c r="AF79" s="123">
        <v>198.47179</v>
      </c>
    </row>
    <row r="80" spans="3:32" x14ac:dyDescent="0.2">
      <c r="C80" s="58"/>
      <c r="D80" s="116" t="s">
        <v>136</v>
      </c>
      <c r="E80" s="113" t="s">
        <v>134</v>
      </c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12"/>
      <c r="Y80" s="125">
        <f>IF($S$16&lt;&gt;0,Y78-Y79,0)</f>
        <v>0</v>
      </c>
      <c r="Z80" s="125">
        <f t="shared" ref="Z80:AF80" si="82">IF($S$16&lt;&gt;0,Z78-Z79,0)</f>
        <v>0</v>
      </c>
      <c r="AA80" s="125">
        <f t="shared" si="82"/>
        <v>0</v>
      </c>
      <c r="AB80" s="125">
        <f t="shared" si="82"/>
        <v>0</v>
      </c>
      <c r="AC80" s="125">
        <f t="shared" si="82"/>
        <v>0</v>
      </c>
      <c r="AD80" s="125">
        <f t="shared" si="82"/>
        <v>0</v>
      </c>
      <c r="AE80" s="125">
        <f t="shared" si="82"/>
        <v>0</v>
      </c>
      <c r="AF80" s="125">
        <f t="shared" si="82"/>
        <v>0</v>
      </c>
    </row>
    <row r="81" spans="3:32" x14ac:dyDescent="0.2">
      <c r="C81" s="58"/>
      <c r="D81" s="116" t="s">
        <v>129</v>
      </c>
      <c r="E81" s="113" t="s">
        <v>130</v>
      </c>
      <c r="F81" s="126"/>
      <c r="G81" s="126"/>
      <c r="H81" s="126"/>
      <c r="I81" s="126"/>
      <c r="J81" s="126"/>
      <c r="K81" s="126"/>
      <c r="L81" s="126"/>
      <c r="M81" s="126"/>
      <c r="N81" s="126">
        <v>226.60165000000001</v>
      </c>
      <c r="O81" s="126"/>
      <c r="P81" s="126"/>
      <c r="Q81" s="126"/>
      <c r="R81" s="126"/>
      <c r="S81" s="126">
        <v>226.60165000000001</v>
      </c>
      <c r="T81" s="112"/>
      <c r="Y81" s="126">
        <f>Y83*Y16</f>
        <v>226.60165000000001</v>
      </c>
      <c r="Z81" s="126">
        <f>Z83*Z16</f>
        <v>226.60165000000001</v>
      </c>
      <c r="AA81" s="126">
        <f t="shared" ref="AA81:AF81" si="83">AA83*AA16</f>
        <v>226.60165000000001</v>
      </c>
      <c r="AB81" s="126">
        <f t="shared" si="83"/>
        <v>226.60165000000001</v>
      </c>
      <c r="AC81" s="126">
        <f t="shared" si="83"/>
        <v>226.60165000000001</v>
      </c>
      <c r="AD81" s="126">
        <f t="shared" si="83"/>
        <v>226.60165000000001</v>
      </c>
      <c r="AE81" s="126">
        <f t="shared" si="83"/>
        <v>226.60165000000001</v>
      </c>
      <c r="AF81" s="126">
        <f t="shared" si="83"/>
        <v>226.60165000000001</v>
      </c>
    </row>
    <row r="82" spans="3:32" x14ac:dyDescent="0.2">
      <c r="C82" s="58"/>
      <c r="D82" s="116" t="s">
        <v>137</v>
      </c>
      <c r="E82" s="113" t="s">
        <v>41</v>
      </c>
      <c r="F82" s="125" t="str">
        <f>IF(F$76&lt;&gt;0,F81/F$76*100,"-")</f>
        <v>-</v>
      </c>
      <c r="G82" s="125"/>
      <c r="H82" s="125" t="str">
        <f>IF(H$76&lt;&gt;0,H81/H$76*100,"-")</f>
        <v>-</v>
      </c>
      <c r="I82" s="125"/>
      <c r="J82" s="125"/>
      <c r="K82" s="125"/>
      <c r="L82" s="125"/>
      <c r="M82" s="125"/>
      <c r="N82" s="125">
        <f>IF(N$76&lt;&gt;0,N81/N$76*100,"-")</f>
        <v>100</v>
      </c>
      <c r="O82" s="125" t="str">
        <f t="shared" ref="O82:S82" si="84">IF(O$76&lt;&gt;0,O81/O$76*100,"-")</f>
        <v>-</v>
      </c>
      <c r="P82" s="125" t="str">
        <f t="shared" si="84"/>
        <v>-</v>
      </c>
      <c r="Q82" s="125" t="str">
        <f t="shared" si="84"/>
        <v>-</v>
      </c>
      <c r="R82" s="125" t="str">
        <f t="shared" si="84"/>
        <v>-</v>
      </c>
      <c r="S82" s="125">
        <f t="shared" si="84"/>
        <v>100</v>
      </c>
      <c r="T82" s="112"/>
      <c r="Y82" s="125">
        <f>IF(Y$76&lt;&gt;0,Y81/Y$76*100,0)</f>
        <v>100</v>
      </c>
      <c r="Z82" s="125">
        <f t="shared" ref="Z82:AF82" si="85">IF(Z$76&lt;&gt;0,Z81/Z$76*100,0)</f>
        <v>100</v>
      </c>
      <c r="AA82" s="125">
        <f t="shared" si="85"/>
        <v>100</v>
      </c>
      <c r="AB82" s="125">
        <f t="shared" si="85"/>
        <v>100</v>
      </c>
      <c r="AC82" s="125">
        <f t="shared" si="85"/>
        <v>100</v>
      </c>
      <c r="AD82" s="125">
        <f t="shared" si="85"/>
        <v>100</v>
      </c>
      <c r="AE82" s="125">
        <f t="shared" si="85"/>
        <v>100</v>
      </c>
      <c r="AF82" s="125">
        <f t="shared" si="85"/>
        <v>100</v>
      </c>
    </row>
    <row r="83" spans="3:32" x14ac:dyDescent="0.2">
      <c r="C83" s="58"/>
      <c r="D83" s="258" t="s">
        <v>138</v>
      </c>
      <c r="E83" s="113" t="s">
        <v>132</v>
      </c>
      <c r="F83" s="127"/>
      <c r="G83" s="127"/>
      <c r="H83" s="127"/>
      <c r="I83" s="127"/>
      <c r="J83" s="127"/>
      <c r="K83" s="127"/>
      <c r="L83" s="127"/>
      <c r="M83" s="127"/>
      <c r="N83" s="127">
        <v>0.1595</v>
      </c>
      <c r="O83" s="127"/>
      <c r="P83" s="127"/>
      <c r="Q83" s="127"/>
      <c r="R83" s="127"/>
      <c r="S83" s="127">
        <v>0.1595</v>
      </c>
      <c r="T83" s="128"/>
      <c r="Y83" s="127">
        <v>0.1595</v>
      </c>
      <c r="Z83" s="127">
        <v>0.1595</v>
      </c>
      <c r="AA83" s="127">
        <v>0.1595</v>
      </c>
      <c r="AB83" s="127">
        <v>0.1595</v>
      </c>
      <c r="AC83" s="127">
        <v>0.1595</v>
      </c>
      <c r="AD83" s="127">
        <v>0.1595</v>
      </c>
      <c r="AE83" s="127">
        <v>0.1595</v>
      </c>
      <c r="AF83" s="127">
        <v>0.1595</v>
      </c>
    </row>
    <row r="84" spans="3:32" x14ac:dyDescent="0.2">
      <c r="C84" s="58"/>
      <c r="D84" s="259"/>
      <c r="E84" s="113" t="s">
        <v>139</v>
      </c>
      <c r="F84" s="117"/>
      <c r="G84" s="117"/>
      <c r="H84" s="117"/>
      <c r="I84" s="117"/>
      <c r="J84" s="117"/>
      <c r="K84" s="117"/>
      <c r="L84" s="117"/>
      <c r="M84" s="117"/>
      <c r="N84" s="117">
        <v>0.13969999999999999</v>
      </c>
      <c r="O84" s="117"/>
      <c r="P84" s="117"/>
      <c r="Q84" s="117"/>
      <c r="R84" s="117"/>
      <c r="S84" s="117">
        <v>0.13969999999999999</v>
      </c>
      <c r="T84" s="129"/>
      <c r="Y84" s="125">
        <v>0.13969999999999999</v>
      </c>
      <c r="Z84" s="125">
        <v>0.13969999999999999</v>
      </c>
      <c r="AA84" s="125">
        <v>0.13969999999999999</v>
      </c>
      <c r="AB84" s="125">
        <v>0.13969999999999999</v>
      </c>
      <c r="AC84" s="125">
        <v>0.13969999999999999</v>
      </c>
      <c r="AD84" s="125">
        <v>0.13969999999999999</v>
      </c>
      <c r="AE84" s="125">
        <v>0.13969999999999999</v>
      </c>
      <c r="AF84" s="125">
        <v>0.13969999999999999</v>
      </c>
    </row>
    <row r="85" spans="3:32" x14ac:dyDescent="0.2">
      <c r="C85" s="58"/>
      <c r="D85" s="116" t="s">
        <v>140</v>
      </c>
      <c r="E85" s="113" t="s">
        <v>141</v>
      </c>
      <c r="F85" s="41"/>
      <c r="G85" s="41"/>
      <c r="H85" s="41"/>
      <c r="I85" s="41"/>
      <c r="J85" s="41"/>
      <c r="K85" s="41"/>
      <c r="L85" s="41"/>
      <c r="M85" s="41"/>
      <c r="N85" s="41">
        <v>7994</v>
      </c>
      <c r="O85" s="41"/>
      <c r="P85" s="41"/>
      <c r="Q85" s="41"/>
      <c r="R85" s="41"/>
      <c r="S85" s="41">
        <v>7994</v>
      </c>
      <c r="T85" s="130"/>
      <c r="Y85" s="41">
        <v>7994</v>
      </c>
      <c r="Z85" s="41">
        <v>7994</v>
      </c>
      <c r="AA85" s="41">
        <v>7994</v>
      </c>
      <c r="AB85" s="41">
        <v>7994</v>
      </c>
      <c r="AC85" s="41">
        <v>7994</v>
      </c>
      <c r="AD85" s="41">
        <v>7994</v>
      </c>
      <c r="AE85" s="41">
        <v>7994</v>
      </c>
      <c r="AF85" s="41">
        <v>7994</v>
      </c>
    </row>
    <row r="86" spans="3:32" hidden="1" x14ac:dyDescent="0.2">
      <c r="C86" s="29"/>
      <c r="D86" s="119" t="s">
        <v>142</v>
      </c>
      <c r="E86" s="120" t="s">
        <v>143</v>
      </c>
      <c r="F86" s="131">
        <f>F90*F17</f>
        <v>0</v>
      </c>
      <c r="G86" s="131"/>
      <c r="H86" s="131">
        <f>H90*H17</f>
        <v>0</v>
      </c>
      <c r="I86" s="131"/>
      <c r="J86" s="131"/>
      <c r="K86" s="131"/>
      <c r="L86" s="131"/>
      <c r="M86" s="131"/>
      <c r="N86" s="131">
        <f>N90*N17</f>
        <v>0</v>
      </c>
      <c r="O86" s="131">
        <f t="shared" ref="O86:S86" si="86">O90*O17</f>
        <v>0</v>
      </c>
      <c r="P86" s="131">
        <f t="shared" si="86"/>
        <v>0</v>
      </c>
      <c r="Q86" s="131">
        <f t="shared" si="86"/>
        <v>0</v>
      </c>
      <c r="R86" s="131">
        <f t="shared" si="86"/>
        <v>0</v>
      </c>
      <c r="S86" s="131">
        <f t="shared" si="86"/>
        <v>0</v>
      </c>
      <c r="T86" s="132"/>
      <c r="Y86" s="122">
        <f>IF(Y$17&lt;&gt;0,Y$17*Y90,0)</f>
        <v>0</v>
      </c>
      <c r="Z86" s="122">
        <f t="shared" ref="Z86:AF86" si="87">IF(Z$17&lt;&gt;0,Z$17*Z90,0)</f>
        <v>0</v>
      </c>
      <c r="AA86" s="122">
        <f t="shared" si="87"/>
        <v>0</v>
      </c>
      <c r="AB86" s="122">
        <f t="shared" si="87"/>
        <v>0</v>
      </c>
      <c r="AC86" s="122">
        <f t="shared" si="87"/>
        <v>0</v>
      </c>
      <c r="AD86" s="122">
        <f t="shared" si="87"/>
        <v>0</v>
      </c>
      <c r="AE86" s="122">
        <f t="shared" si="87"/>
        <v>0</v>
      </c>
      <c r="AF86" s="122">
        <f t="shared" si="87"/>
        <v>0</v>
      </c>
    </row>
    <row r="87" spans="3:32" hidden="1" x14ac:dyDescent="0.2">
      <c r="C87" s="29"/>
      <c r="D87" s="116" t="s">
        <v>129</v>
      </c>
      <c r="E87" s="113" t="s">
        <v>130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0"/>
      <c r="Y87" s="133"/>
      <c r="Z87" s="133">
        <f t="shared" ref="Z87:AF87" si="88">Z89*Z17</f>
        <v>0</v>
      </c>
      <c r="AA87" s="133">
        <f t="shared" si="88"/>
        <v>0</v>
      </c>
      <c r="AB87" s="133">
        <f t="shared" si="88"/>
        <v>0</v>
      </c>
      <c r="AC87" s="133">
        <f t="shared" si="88"/>
        <v>0</v>
      </c>
      <c r="AD87" s="133">
        <f t="shared" si="88"/>
        <v>0</v>
      </c>
      <c r="AE87" s="133">
        <f t="shared" si="88"/>
        <v>0</v>
      </c>
      <c r="AF87" s="133">
        <f t="shared" si="88"/>
        <v>0</v>
      </c>
    </row>
    <row r="88" spans="3:32" hidden="1" x14ac:dyDescent="0.2">
      <c r="C88" s="29"/>
      <c r="D88" s="116" t="s">
        <v>137</v>
      </c>
      <c r="E88" s="113" t="s">
        <v>41</v>
      </c>
      <c r="F88" s="125" t="str">
        <f>IF(F$76&lt;&gt;0,F87/F$76*100,"-")</f>
        <v>-</v>
      </c>
      <c r="G88" s="125"/>
      <c r="H88" s="125" t="str">
        <f>IF(H$76&lt;&gt;0,H87/H$76*100,"-")</f>
        <v>-</v>
      </c>
      <c r="I88" s="125"/>
      <c r="J88" s="125"/>
      <c r="K88" s="125"/>
      <c r="L88" s="125"/>
      <c r="M88" s="125"/>
      <c r="N88" s="125">
        <f>IF(N$76&lt;&gt;0,N87/N$76*100,"-")</f>
        <v>0</v>
      </c>
      <c r="O88" s="125" t="str">
        <f t="shared" ref="O88:S88" si="89">IF(O$76&lt;&gt;0,O87/O$76*100,"-")</f>
        <v>-</v>
      </c>
      <c r="P88" s="125" t="str">
        <f t="shared" si="89"/>
        <v>-</v>
      </c>
      <c r="Q88" s="125" t="str">
        <f t="shared" si="89"/>
        <v>-</v>
      </c>
      <c r="R88" s="125" t="str">
        <f t="shared" si="89"/>
        <v>-</v>
      </c>
      <c r="S88" s="125">
        <f t="shared" si="89"/>
        <v>0</v>
      </c>
      <c r="T88" s="118"/>
      <c r="Y88" s="125">
        <f>IF(Y$76&lt;&gt;0,Y87/Y$76*100,0)</f>
        <v>0</v>
      </c>
      <c r="Z88" s="125">
        <f t="shared" ref="Z88:AF88" si="90">IF(Z$76&lt;&gt;0,Z87/Z$76*100,0)</f>
        <v>0</v>
      </c>
      <c r="AA88" s="125">
        <f t="shared" si="90"/>
        <v>0</v>
      </c>
      <c r="AB88" s="125">
        <f t="shared" si="90"/>
        <v>0</v>
      </c>
      <c r="AC88" s="125">
        <f t="shared" si="90"/>
        <v>0</v>
      </c>
      <c r="AD88" s="125">
        <f t="shared" si="90"/>
        <v>0</v>
      </c>
      <c r="AE88" s="125">
        <f t="shared" si="90"/>
        <v>0</v>
      </c>
      <c r="AF88" s="125">
        <f t="shared" si="90"/>
        <v>0</v>
      </c>
    </row>
    <row r="89" spans="3:32" ht="15.75" hidden="1" customHeight="1" x14ac:dyDescent="0.2">
      <c r="C89" s="29"/>
      <c r="D89" s="258" t="s">
        <v>144</v>
      </c>
      <c r="E89" s="113" t="s">
        <v>132</v>
      </c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34"/>
      <c r="Y89" s="127"/>
      <c r="Z89" s="127"/>
      <c r="AA89" s="127"/>
      <c r="AB89" s="127"/>
      <c r="AC89" s="127"/>
      <c r="AD89" s="127"/>
      <c r="AE89" s="127"/>
      <c r="AF89" s="127"/>
    </row>
    <row r="90" spans="3:32" hidden="1" x14ac:dyDescent="0.2">
      <c r="C90" s="29"/>
      <c r="D90" s="259"/>
      <c r="E90" s="113" t="s">
        <v>145</v>
      </c>
      <c r="F90" s="117"/>
      <c r="G90" s="117"/>
      <c r="H90" s="117"/>
      <c r="I90" s="117"/>
      <c r="J90" s="117"/>
      <c r="K90" s="117"/>
      <c r="L90" s="117"/>
      <c r="M90" s="117"/>
      <c r="N90" s="253"/>
      <c r="O90" s="253"/>
      <c r="P90" s="253"/>
      <c r="Q90" s="253"/>
      <c r="R90" s="253"/>
      <c r="S90" s="253"/>
      <c r="T90" s="253"/>
      <c r="U90" s="253"/>
      <c r="V90" s="253"/>
      <c r="W90" s="253"/>
      <c r="X90" s="253"/>
      <c r="Y90" s="253"/>
      <c r="Z90" s="125">
        <f t="shared" ref="Z90:AF90" si="91">IF(Z$91&lt;&gt;0,Z89*7000/$S$91,0)</f>
        <v>0</v>
      </c>
      <c r="AA90" s="125">
        <f t="shared" si="91"/>
        <v>0</v>
      </c>
      <c r="AB90" s="125">
        <f t="shared" si="91"/>
        <v>0</v>
      </c>
      <c r="AC90" s="125">
        <f t="shared" si="91"/>
        <v>0</v>
      </c>
      <c r="AD90" s="125">
        <f t="shared" si="91"/>
        <v>0</v>
      </c>
      <c r="AE90" s="125">
        <f t="shared" si="91"/>
        <v>0</v>
      </c>
      <c r="AF90" s="125">
        <f t="shared" si="91"/>
        <v>0</v>
      </c>
    </row>
    <row r="91" spans="3:32" hidden="1" x14ac:dyDescent="0.2">
      <c r="C91" s="29"/>
      <c r="D91" s="116" t="s">
        <v>140</v>
      </c>
      <c r="E91" s="113" t="s">
        <v>146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135"/>
      <c r="Y91" s="41"/>
      <c r="Z91" s="41"/>
      <c r="AA91" s="41"/>
      <c r="AB91" s="41"/>
      <c r="AC91" s="41"/>
      <c r="AD91" s="41"/>
      <c r="AE91" s="41"/>
      <c r="AF91" s="41"/>
    </row>
    <row r="92" spans="3:32" hidden="1" x14ac:dyDescent="0.2">
      <c r="C92" s="58"/>
      <c r="D92" s="119" t="s">
        <v>147</v>
      </c>
      <c r="E92" s="120" t="s">
        <v>148</v>
      </c>
      <c r="F92" s="131">
        <f>F95*F18</f>
        <v>991</v>
      </c>
      <c r="G92" s="131"/>
      <c r="H92" s="136">
        <f>H95*H18</f>
        <v>1555.8700000000001</v>
      </c>
      <c r="I92" s="131"/>
      <c r="J92" s="131"/>
      <c r="K92" s="131"/>
      <c r="L92" s="131"/>
      <c r="M92" s="131"/>
      <c r="N92" s="131">
        <f>N95*N18</f>
        <v>0</v>
      </c>
      <c r="O92" s="131">
        <f t="shared" ref="O92:S92" si="92">O95*O18</f>
        <v>0</v>
      </c>
      <c r="P92" s="131">
        <f t="shared" si="92"/>
        <v>0</v>
      </c>
      <c r="Q92" s="131">
        <f t="shared" si="92"/>
        <v>0</v>
      </c>
      <c r="R92" s="131">
        <f t="shared" si="92"/>
        <v>0</v>
      </c>
      <c r="S92" s="131">
        <f t="shared" si="92"/>
        <v>0</v>
      </c>
      <c r="Y92" s="131">
        <f>Y95*Y18</f>
        <v>0</v>
      </c>
      <c r="Z92" s="131">
        <f t="shared" ref="Z92:AF92" si="93">Z95*Z18</f>
        <v>0</v>
      </c>
      <c r="AA92" s="131">
        <f t="shared" si="93"/>
        <v>0</v>
      </c>
      <c r="AB92" s="131">
        <f t="shared" si="93"/>
        <v>0</v>
      </c>
      <c r="AC92" s="131">
        <f t="shared" si="93"/>
        <v>0</v>
      </c>
      <c r="AD92" s="131">
        <f t="shared" si="93"/>
        <v>0</v>
      </c>
      <c r="AE92" s="131">
        <f t="shared" si="93"/>
        <v>0</v>
      </c>
      <c r="AF92" s="131">
        <f t="shared" si="93"/>
        <v>0</v>
      </c>
    </row>
    <row r="93" spans="3:32" hidden="1" x14ac:dyDescent="0.2">
      <c r="C93" s="58"/>
      <c r="D93" s="116" t="s">
        <v>129</v>
      </c>
      <c r="E93" s="113" t="s">
        <v>130</v>
      </c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Y93" s="137"/>
      <c r="Z93" s="137"/>
      <c r="AA93" s="137"/>
      <c r="AB93" s="137"/>
      <c r="AC93" s="137"/>
      <c r="AD93" s="137"/>
      <c r="AE93" s="137"/>
      <c r="AF93" s="137"/>
    </row>
    <row r="94" spans="3:32" hidden="1" x14ac:dyDescent="0.2">
      <c r="C94" s="58"/>
      <c r="D94" s="116" t="s">
        <v>137</v>
      </c>
      <c r="E94" s="113" t="s">
        <v>41</v>
      </c>
      <c r="F94" s="138" t="str">
        <f>IF(F$76&lt;&gt;0,F93/F$76*100,"-")</f>
        <v>-</v>
      </c>
      <c r="G94" s="138"/>
      <c r="H94" s="138" t="str">
        <f>IF(H$76&lt;&gt;0,H93/H$76*100,"-")</f>
        <v>-</v>
      </c>
      <c r="I94" s="138"/>
      <c r="J94" s="138"/>
      <c r="K94" s="138"/>
      <c r="L94" s="138"/>
      <c r="M94" s="138"/>
      <c r="N94" s="138">
        <f>IF(N$76&lt;&gt;0,N93/N$76*100,"-")</f>
        <v>0</v>
      </c>
      <c r="O94" s="138" t="str">
        <f t="shared" ref="O94:S94" si="94">IF(O$76&lt;&gt;0,O93/O$76*100,"-")</f>
        <v>-</v>
      </c>
      <c r="P94" s="138" t="str">
        <f t="shared" si="94"/>
        <v>-</v>
      </c>
      <c r="Q94" s="138" t="str">
        <f t="shared" si="94"/>
        <v>-</v>
      </c>
      <c r="R94" s="138" t="str">
        <f t="shared" si="94"/>
        <v>-</v>
      </c>
      <c r="S94" s="138">
        <f t="shared" si="94"/>
        <v>0</v>
      </c>
      <c r="Y94" s="138">
        <f>IF(Y$76&lt;&gt;0,Y93/Y$76*100,"-")</f>
        <v>0</v>
      </c>
      <c r="Z94" s="138">
        <f t="shared" ref="Z94:AF94" si="95">IF(Z$76&lt;&gt;0,Z93/Z$76*100,"-")</f>
        <v>0</v>
      </c>
      <c r="AA94" s="138">
        <f t="shared" si="95"/>
        <v>0</v>
      </c>
      <c r="AB94" s="138">
        <f t="shared" si="95"/>
        <v>0</v>
      </c>
      <c r="AC94" s="138">
        <f t="shared" si="95"/>
        <v>0</v>
      </c>
      <c r="AD94" s="138">
        <f t="shared" si="95"/>
        <v>0</v>
      </c>
      <c r="AE94" s="138">
        <f t="shared" si="95"/>
        <v>0</v>
      </c>
      <c r="AF94" s="138">
        <f t="shared" si="95"/>
        <v>0</v>
      </c>
    </row>
    <row r="95" spans="3:32" hidden="1" x14ac:dyDescent="0.2">
      <c r="C95" s="58"/>
      <c r="D95" s="116" t="s">
        <v>149</v>
      </c>
      <c r="E95" s="113" t="s">
        <v>150</v>
      </c>
      <c r="F95" s="139">
        <v>1</v>
      </c>
      <c r="G95" s="139"/>
      <c r="H95" s="123">
        <v>1.57</v>
      </c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Y95" s="139"/>
      <c r="Z95" s="139"/>
      <c r="AA95" s="139"/>
      <c r="AB95" s="139"/>
      <c r="AC95" s="139"/>
      <c r="AD95" s="139"/>
      <c r="AE95" s="139"/>
      <c r="AF95" s="139"/>
    </row>
    <row r="96" spans="3:32" hidden="1" x14ac:dyDescent="0.2">
      <c r="C96" s="58"/>
      <c r="D96" s="119" t="s">
        <v>151</v>
      </c>
      <c r="E96" s="120" t="s">
        <v>148</v>
      </c>
      <c r="F96" s="131">
        <f>F99*F19</f>
        <v>0</v>
      </c>
      <c r="G96" s="131"/>
      <c r="H96" s="131">
        <f>H99*H19</f>
        <v>0</v>
      </c>
      <c r="I96" s="131"/>
      <c r="J96" s="131"/>
      <c r="K96" s="131"/>
      <c r="L96" s="131"/>
      <c r="M96" s="131"/>
      <c r="N96" s="131">
        <f>N99*N19</f>
        <v>0</v>
      </c>
      <c r="O96" s="131">
        <f t="shared" ref="O96:S96" si="96">O99*O19</f>
        <v>0</v>
      </c>
      <c r="P96" s="131">
        <f t="shared" si="96"/>
        <v>0</v>
      </c>
      <c r="Q96" s="131">
        <f t="shared" si="96"/>
        <v>0</v>
      </c>
      <c r="R96" s="131">
        <f t="shared" si="96"/>
        <v>0</v>
      </c>
      <c r="S96" s="131">
        <f t="shared" si="96"/>
        <v>0</v>
      </c>
      <c r="Y96" s="131">
        <f>Y99*Y19</f>
        <v>0</v>
      </c>
      <c r="Z96" s="131">
        <f t="shared" ref="Z96:AF96" si="97">Z99*Z19</f>
        <v>0</v>
      </c>
      <c r="AA96" s="131">
        <f t="shared" si="97"/>
        <v>0</v>
      </c>
      <c r="AB96" s="131">
        <f t="shared" si="97"/>
        <v>0</v>
      </c>
      <c r="AC96" s="131">
        <f t="shared" si="97"/>
        <v>0</v>
      </c>
      <c r="AD96" s="131">
        <f t="shared" si="97"/>
        <v>0</v>
      </c>
      <c r="AE96" s="131">
        <f t="shared" si="97"/>
        <v>0</v>
      </c>
      <c r="AF96" s="131">
        <f t="shared" si="97"/>
        <v>0</v>
      </c>
    </row>
    <row r="97" spans="3:32" hidden="1" x14ac:dyDescent="0.2">
      <c r="C97" s="58"/>
      <c r="D97" s="116" t="s">
        <v>129</v>
      </c>
      <c r="E97" s="113" t="s">
        <v>130</v>
      </c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Y97" s="137"/>
      <c r="Z97" s="137"/>
      <c r="AA97" s="137"/>
      <c r="AB97" s="137"/>
      <c r="AC97" s="137"/>
      <c r="AD97" s="137"/>
      <c r="AE97" s="137"/>
      <c r="AF97" s="137"/>
    </row>
    <row r="98" spans="3:32" hidden="1" x14ac:dyDescent="0.2">
      <c r="C98" s="58"/>
      <c r="D98" s="116" t="s">
        <v>137</v>
      </c>
      <c r="E98" s="113" t="s">
        <v>41</v>
      </c>
      <c r="F98" s="138" t="str">
        <f>IF(F$76&lt;&gt;0,F97/F$76*100,"-")</f>
        <v>-</v>
      </c>
      <c r="G98" s="138"/>
      <c r="H98" s="138" t="str">
        <f>IF(H$76&lt;&gt;0,H97/H$76*100,"-")</f>
        <v>-</v>
      </c>
      <c r="I98" s="138"/>
      <c r="J98" s="138"/>
      <c r="K98" s="138"/>
      <c r="L98" s="138"/>
      <c r="M98" s="138"/>
      <c r="N98" s="138">
        <f>IF(N$76&lt;&gt;0,N97/N$76*100,"-")</f>
        <v>0</v>
      </c>
      <c r="O98" s="138" t="str">
        <f t="shared" ref="O98:S98" si="98">IF(O$76&lt;&gt;0,O97/O$76*100,"-")</f>
        <v>-</v>
      </c>
      <c r="P98" s="138" t="str">
        <f t="shared" si="98"/>
        <v>-</v>
      </c>
      <c r="Q98" s="138" t="str">
        <f t="shared" si="98"/>
        <v>-</v>
      </c>
      <c r="R98" s="138" t="str">
        <f t="shared" si="98"/>
        <v>-</v>
      </c>
      <c r="S98" s="138">
        <f t="shared" si="98"/>
        <v>0</v>
      </c>
      <c r="Y98" s="138">
        <f>IF(Y$76&lt;&gt;0,Y97/Y$76*100,"-")</f>
        <v>0</v>
      </c>
      <c r="Z98" s="138">
        <f t="shared" ref="Z98:AF98" si="99">IF(Z$76&lt;&gt;0,Z97/Z$76*100,"-")</f>
        <v>0</v>
      </c>
      <c r="AA98" s="138">
        <f t="shared" si="99"/>
        <v>0</v>
      </c>
      <c r="AB98" s="138">
        <f t="shared" si="99"/>
        <v>0</v>
      </c>
      <c r="AC98" s="138">
        <f t="shared" si="99"/>
        <v>0</v>
      </c>
      <c r="AD98" s="138">
        <f t="shared" si="99"/>
        <v>0</v>
      </c>
      <c r="AE98" s="138">
        <f t="shared" si="99"/>
        <v>0</v>
      </c>
      <c r="AF98" s="138">
        <f t="shared" si="99"/>
        <v>0</v>
      </c>
    </row>
    <row r="99" spans="3:32" hidden="1" x14ac:dyDescent="0.2">
      <c r="C99" s="58"/>
      <c r="D99" s="116" t="s">
        <v>152</v>
      </c>
      <c r="E99" s="113" t="s">
        <v>150</v>
      </c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Y99" s="139"/>
      <c r="Z99" s="139"/>
      <c r="AA99" s="139"/>
      <c r="AB99" s="139"/>
      <c r="AC99" s="139"/>
      <c r="AD99" s="139"/>
      <c r="AE99" s="139"/>
      <c r="AF99" s="139"/>
    </row>
    <row r="100" spans="3:32" hidden="1" x14ac:dyDescent="0.2">
      <c r="C100" s="58"/>
      <c r="D100" s="119" t="s">
        <v>153</v>
      </c>
      <c r="E100" s="120" t="s">
        <v>143</v>
      </c>
      <c r="F100" s="131">
        <f>F103*F20</f>
        <v>0</v>
      </c>
      <c r="G100" s="131"/>
      <c r="H100" s="131">
        <f>H103*H20</f>
        <v>0</v>
      </c>
      <c r="I100" s="131"/>
      <c r="J100" s="131"/>
      <c r="K100" s="131"/>
      <c r="L100" s="131"/>
      <c r="M100" s="131"/>
      <c r="N100" s="131">
        <f>N103*N20</f>
        <v>0</v>
      </c>
      <c r="O100" s="131">
        <f t="shared" ref="O100:S100" si="100">O103*O20</f>
        <v>0</v>
      </c>
      <c r="P100" s="131">
        <f t="shared" si="100"/>
        <v>0</v>
      </c>
      <c r="Q100" s="131">
        <f t="shared" si="100"/>
        <v>0</v>
      </c>
      <c r="R100" s="131">
        <f t="shared" si="100"/>
        <v>0</v>
      </c>
      <c r="S100" s="131">
        <f t="shared" si="100"/>
        <v>0</v>
      </c>
      <c r="Y100" s="131">
        <f>Y103*Y20</f>
        <v>0</v>
      </c>
      <c r="Z100" s="131">
        <f t="shared" ref="Z100:AF100" si="101">Z103*Z20</f>
        <v>0</v>
      </c>
      <c r="AA100" s="131">
        <f t="shared" si="101"/>
        <v>0</v>
      </c>
      <c r="AB100" s="131">
        <f t="shared" si="101"/>
        <v>0</v>
      </c>
      <c r="AC100" s="131">
        <f t="shared" si="101"/>
        <v>0</v>
      </c>
      <c r="AD100" s="131">
        <f t="shared" si="101"/>
        <v>0</v>
      </c>
      <c r="AE100" s="131">
        <f t="shared" si="101"/>
        <v>0</v>
      </c>
      <c r="AF100" s="131">
        <f t="shared" si="101"/>
        <v>0</v>
      </c>
    </row>
    <row r="101" spans="3:32" hidden="1" x14ac:dyDescent="0.2">
      <c r="C101" s="58"/>
      <c r="D101" s="116" t="s">
        <v>129</v>
      </c>
      <c r="E101" s="113" t="s">
        <v>130</v>
      </c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Y101" s="137"/>
      <c r="Z101" s="137"/>
      <c r="AA101" s="137"/>
      <c r="AB101" s="137"/>
      <c r="AC101" s="137"/>
      <c r="AD101" s="137"/>
      <c r="AE101" s="137"/>
      <c r="AF101" s="137"/>
    </row>
    <row r="102" spans="3:32" hidden="1" x14ac:dyDescent="0.2">
      <c r="C102" s="58"/>
      <c r="D102" s="116" t="s">
        <v>137</v>
      </c>
      <c r="E102" s="113" t="s">
        <v>41</v>
      </c>
      <c r="F102" s="138" t="str">
        <f>IF(F$76&lt;&gt;0,F101/F$76*100,"-")</f>
        <v>-</v>
      </c>
      <c r="G102" s="138"/>
      <c r="H102" s="138" t="str">
        <f>IF(H$76&lt;&gt;0,H101/H$76*100,"-")</f>
        <v>-</v>
      </c>
      <c r="I102" s="138"/>
      <c r="J102" s="138"/>
      <c r="K102" s="138"/>
      <c r="L102" s="138"/>
      <c r="M102" s="138"/>
      <c r="N102" s="138">
        <f>IF(N$76&lt;&gt;0,N101/N$76*100,"-")</f>
        <v>0</v>
      </c>
      <c r="O102" s="138" t="str">
        <f t="shared" ref="O102:S102" si="102">IF(O$76&lt;&gt;0,O101/O$76*100,"-")</f>
        <v>-</v>
      </c>
      <c r="P102" s="138" t="str">
        <f t="shared" si="102"/>
        <v>-</v>
      </c>
      <c r="Q102" s="138" t="str">
        <f t="shared" si="102"/>
        <v>-</v>
      </c>
      <c r="R102" s="138" t="str">
        <f t="shared" si="102"/>
        <v>-</v>
      </c>
      <c r="S102" s="138">
        <f t="shared" si="102"/>
        <v>0</v>
      </c>
      <c r="Y102" s="138">
        <f>IF(Y$76&lt;&gt;0,Y101/Y$76*100,"-")</f>
        <v>0</v>
      </c>
      <c r="Z102" s="138">
        <f t="shared" ref="Z102:AF102" si="103">IF(Z$76&lt;&gt;0,Z101/Z$76*100,"-")</f>
        <v>0</v>
      </c>
      <c r="AA102" s="138">
        <f t="shared" si="103"/>
        <v>0</v>
      </c>
      <c r="AB102" s="138">
        <f t="shared" si="103"/>
        <v>0</v>
      </c>
      <c r="AC102" s="138">
        <f t="shared" si="103"/>
        <v>0</v>
      </c>
      <c r="AD102" s="138">
        <f t="shared" si="103"/>
        <v>0</v>
      </c>
      <c r="AE102" s="138">
        <f t="shared" si="103"/>
        <v>0</v>
      </c>
      <c r="AF102" s="138">
        <f t="shared" si="103"/>
        <v>0</v>
      </c>
    </row>
    <row r="103" spans="3:32" hidden="1" x14ac:dyDescent="0.2">
      <c r="C103" s="58"/>
      <c r="D103" s="116" t="s">
        <v>154</v>
      </c>
      <c r="E103" s="113" t="s">
        <v>145</v>
      </c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Y103" s="139"/>
      <c r="Z103" s="139"/>
      <c r="AA103" s="139"/>
      <c r="AB103" s="139"/>
      <c r="AC103" s="139"/>
      <c r="AD103" s="139"/>
      <c r="AE103" s="139"/>
      <c r="AF103" s="139"/>
    </row>
    <row r="104" spans="3:32" s="107" customFormat="1" hidden="1" x14ac:dyDescent="0.2">
      <c r="C104" s="58"/>
      <c r="D104" s="119" t="s">
        <v>155</v>
      </c>
      <c r="E104" s="120" t="s">
        <v>156</v>
      </c>
      <c r="F104" s="131">
        <f>SUM(F105:F107)</f>
        <v>0</v>
      </c>
      <c r="G104" s="131"/>
      <c r="H104" s="131">
        <f>SUM(H105:H107)</f>
        <v>0</v>
      </c>
      <c r="I104" s="131"/>
      <c r="J104" s="131"/>
      <c r="K104" s="131"/>
      <c r="L104" s="131"/>
      <c r="M104" s="131"/>
      <c r="N104" s="131">
        <f>SUM(N105:N107)</f>
        <v>0</v>
      </c>
      <c r="O104" s="131">
        <f t="shared" ref="O104:S104" si="104">SUM(O105:O107)</f>
        <v>0</v>
      </c>
      <c r="P104" s="131">
        <f t="shared" si="104"/>
        <v>0</v>
      </c>
      <c r="Q104" s="131">
        <f t="shared" si="104"/>
        <v>0</v>
      </c>
      <c r="R104" s="131">
        <f t="shared" si="104"/>
        <v>0</v>
      </c>
      <c r="S104" s="131">
        <f t="shared" si="104"/>
        <v>0</v>
      </c>
      <c r="Y104" s="131">
        <f>SUM(Y105:Y107)</f>
        <v>0</v>
      </c>
      <c r="Z104" s="131">
        <f t="shared" ref="Z104:AF104" si="105">SUM(Z105:Z107)</f>
        <v>0</v>
      </c>
      <c r="AA104" s="131">
        <f t="shared" si="105"/>
        <v>0</v>
      </c>
      <c r="AB104" s="131">
        <f t="shared" si="105"/>
        <v>0</v>
      </c>
      <c r="AC104" s="131">
        <f t="shared" si="105"/>
        <v>0</v>
      </c>
      <c r="AD104" s="131">
        <f t="shared" si="105"/>
        <v>0</v>
      </c>
      <c r="AE104" s="131">
        <f t="shared" si="105"/>
        <v>0</v>
      </c>
      <c r="AF104" s="131">
        <f t="shared" si="105"/>
        <v>0</v>
      </c>
    </row>
    <row r="105" spans="3:32" s="107" customFormat="1" hidden="1" x14ac:dyDescent="0.2">
      <c r="C105" s="58"/>
      <c r="D105" s="116" t="s">
        <v>157</v>
      </c>
      <c r="E105" s="113" t="s">
        <v>156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Y105" s="123"/>
      <c r="Z105" s="123"/>
      <c r="AA105" s="123"/>
      <c r="AB105" s="123"/>
      <c r="AC105" s="123"/>
      <c r="AD105" s="123"/>
      <c r="AE105" s="123"/>
      <c r="AF105" s="123"/>
    </row>
    <row r="106" spans="3:32" s="107" customFormat="1" hidden="1" x14ac:dyDescent="0.2">
      <c r="C106" s="58"/>
      <c r="D106" s="116" t="s">
        <v>158</v>
      </c>
      <c r="E106" s="113" t="s">
        <v>156</v>
      </c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Y106" s="123"/>
      <c r="Z106" s="123"/>
      <c r="AA106" s="123"/>
      <c r="AB106" s="123"/>
      <c r="AC106" s="123"/>
      <c r="AD106" s="123"/>
      <c r="AE106" s="123"/>
      <c r="AF106" s="123"/>
    </row>
    <row r="107" spans="3:32" s="107" customFormat="1" hidden="1" x14ac:dyDescent="0.2">
      <c r="C107" s="58"/>
      <c r="D107" s="116" t="s">
        <v>159</v>
      </c>
      <c r="E107" s="113" t="s">
        <v>156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Y107" s="123"/>
      <c r="Z107" s="123"/>
      <c r="AA107" s="123"/>
      <c r="AB107" s="123"/>
      <c r="AC107" s="123"/>
      <c r="AD107" s="123"/>
      <c r="AE107" s="123"/>
      <c r="AF107" s="123"/>
    </row>
    <row r="108" spans="3:32" s="107" customFormat="1" hidden="1" x14ac:dyDescent="0.2">
      <c r="C108" s="58"/>
      <c r="D108" s="116" t="s">
        <v>129</v>
      </c>
      <c r="E108" s="113" t="s">
        <v>130</v>
      </c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Y108" s="137"/>
      <c r="Z108" s="137"/>
      <c r="AA108" s="137"/>
      <c r="AB108" s="137"/>
      <c r="AC108" s="137"/>
      <c r="AD108" s="137"/>
      <c r="AE108" s="137"/>
      <c r="AF108" s="137"/>
    </row>
    <row r="109" spans="3:32" s="107" customFormat="1" hidden="1" x14ac:dyDescent="0.2">
      <c r="C109" s="58"/>
      <c r="D109" s="116" t="s">
        <v>137</v>
      </c>
      <c r="E109" s="113" t="s">
        <v>41</v>
      </c>
      <c r="F109" s="138" t="str">
        <f>IF(F$76&lt;&gt;0,F108/F$76*100,"-")</f>
        <v>-</v>
      </c>
      <c r="G109" s="138"/>
      <c r="H109" s="138" t="str">
        <f>IF(H$76&lt;&gt;0,H108/H$76*100,"-")</f>
        <v>-</v>
      </c>
      <c r="I109" s="138"/>
      <c r="J109" s="138"/>
      <c r="K109" s="138"/>
      <c r="L109" s="138"/>
      <c r="M109" s="138"/>
      <c r="N109" s="138">
        <f>IF(N$76&lt;&gt;0,N108/N$76*100,"-")</f>
        <v>0</v>
      </c>
      <c r="O109" s="138" t="str">
        <f t="shared" ref="O109:S109" si="106">IF(O$76&lt;&gt;0,O108/O$76*100,"-")</f>
        <v>-</v>
      </c>
      <c r="P109" s="138" t="str">
        <f t="shared" si="106"/>
        <v>-</v>
      </c>
      <c r="Q109" s="138" t="str">
        <f t="shared" si="106"/>
        <v>-</v>
      </c>
      <c r="R109" s="138" t="str">
        <f t="shared" si="106"/>
        <v>-</v>
      </c>
      <c r="S109" s="138">
        <f t="shared" si="106"/>
        <v>0</v>
      </c>
      <c r="Y109" s="138">
        <f>IF(Y$76&lt;&gt;0,Y108/Y$76*100,"-")</f>
        <v>0</v>
      </c>
      <c r="Z109" s="138">
        <f t="shared" ref="Z109:AF109" si="107">IF(Z$76&lt;&gt;0,Z108/Z$76*100,"-")</f>
        <v>0</v>
      </c>
      <c r="AA109" s="138">
        <f t="shared" si="107"/>
        <v>0</v>
      </c>
      <c r="AB109" s="138">
        <f t="shared" si="107"/>
        <v>0</v>
      </c>
      <c r="AC109" s="138">
        <f t="shared" si="107"/>
        <v>0</v>
      </c>
      <c r="AD109" s="138">
        <f t="shared" si="107"/>
        <v>0</v>
      </c>
      <c r="AE109" s="138">
        <f t="shared" si="107"/>
        <v>0</v>
      </c>
      <c r="AF109" s="138">
        <f t="shared" si="107"/>
        <v>0</v>
      </c>
    </row>
    <row r="110" spans="3:32" s="107" customFormat="1" hidden="1" x14ac:dyDescent="0.2">
      <c r="C110" s="58"/>
      <c r="D110" s="116" t="s">
        <v>160</v>
      </c>
      <c r="E110" s="113" t="s">
        <v>161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Y110" s="59"/>
      <c r="Z110" s="59"/>
      <c r="AA110" s="59"/>
      <c r="AB110" s="59"/>
      <c r="AC110" s="59"/>
      <c r="AD110" s="59"/>
      <c r="AE110" s="59"/>
      <c r="AF110" s="59"/>
    </row>
    <row r="111" spans="3:32" hidden="1" x14ac:dyDescent="0.2">
      <c r="C111" s="140"/>
      <c r="D111" s="141" t="s">
        <v>283</v>
      </c>
      <c r="E111" s="142" t="s">
        <v>143</v>
      </c>
      <c r="F111" s="143">
        <f t="shared" ref="F111:N111" si="108">F114*F22</f>
        <v>0</v>
      </c>
      <c r="G111" s="143">
        <f t="shared" si="108"/>
        <v>0</v>
      </c>
      <c r="H111" s="143">
        <f t="shared" si="108"/>
        <v>0</v>
      </c>
      <c r="I111" s="143">
        <f t="shared" si="108"/>
        <v>0</v>
      </c>
      <c r="J111" s="143">
        <f t="shared" si="108"/>
        <v>0</v>
      </c>
      <c r="K111" s="143">
        <f t="shared" si="108"/>
        <v>0</v>
      </c>
      <c r="L111" s="143">
        <f t="shared" si="108"/>
        <v>0</v>
      </c>
      <c r="M111" s="143">
        <f t="shared" si="108"/>
        <v>0</v>
      </c>
      <c r="N111" s="143">
        <f t="shared" si="108"/>
        <v>0</v>
      </c>
      <c r="O111" s="143">
        <f t="shared" ref="O111:S111" si="109">O114*O22</f>
        <v>0</v>
      </c>
      <c r="P111" s="143">
        <f t="shared" si="109"/>
        <v>0</v>
      </c>
      <c r="Q111" s="143">
        <f t="shared" si="109"/>
        <v>0</v>
      </c>
      <c r="R111" s="143">
        <f t="shared" si="109"/>
        <v>0</v>
      </c>
      <c r="S111" s="143">
        <f t="shared" si="109"/>
        <v>0</v>
      </c>
      <c r="Y111" s="143">
        <f>Y114*Y22</f>
        <v>0</v>
      </c>
      <c r="Z111" s="143">
        <f t="shared" ref="Z111:AF111" si="110">Z114*Z22</f>
        <v>0</v>
      </c>
      <c r="AA111" s="143">
        <f t="shared" si="110"/>
        <v>0</v>
      </c>
      <c r="AB111" s="143">
        <f t="shared" si="110"/>
        <v>0</v>
      </c>
      <c r="AC111" s="143">
        <f t="shared" si="110"/>
        <v>0</v>
      </c>
      <c r="AD111" s="143">
        <f t="shared" si="110"/>
        <v>0</v>
      </c>
      <c r="AE111" s="143">
        <f t="shared" si="110"/>
        <v>0</v>
      </c>
      <c r="AF111" s="143">
        <f t="shared" si="110"/>
        <v>0</v>
      </c>
    </row>
    <row r="112" spans="3:32" hidden="1" x14ac:dyDescent="0.2">
      <c r="C112" s="140"/>
      <c r="D112" s="144" t="s">
        <v>129</v>
      </c>
      <c r="E112" s="145" t="s">
        <v>130</v>
      </c>
      <c r="F112" s="123"/>
      <c r="G112" s="137"/>
      <c r="H112" s="146"/>
      <c r="I112" s="137"/>
      <c r="J112" s="137"/>
      <c r="K112" s="137"/>
      <c r="L112" s="137"/>
      <c r="M112" s="137"/>
      <c r="N112" s="59"/>
      <c r="O112" s="59"/>
      <c r="P112" s="59"/>
      <c r="Q112" s="59"/>
      <c r="R112" s="59"/>
      <c r="S112" s="59"/>
      <c r="Y112" s="137"/>
      <c r="Z112" s="137"/>
      <c r="AA112" s="137"/>
      <c r="AB112" s="137"/>
      <c r="AC112" s="137"/>
      <c r="AD112" s="137"/>
      <c r="AE112" s="137"/>
      <c r="AF112" s="137"/>
    </row>
    <row r="113" spans="3:32" hidden="1" x14ac:dyDescent="0.2">
      <c r="C113" s="140"/>
      <c r="D113" s="144" t="s">
        <v>137</v>
      </c>
      <c r="E113" s="145" t="s">
        <v>41</v>
      </c>
      <c r="F113" s="125" t="str">
        <f>IF(F$76&lt;&gt;0,F112/F$76*100,"-")</f>
        <v>-</v>
      </c>
      <c r="G113" s="138"/>
      <c r="H113" s="147" t="str">
        <f>IF(H$76&lt;&gt;0,H112/H$76*100,"-")</f>
        <v>-</v>
      </c>
      <c r="I113" s="138"/>
      <c r="J113" s="138"/>
      <c r="K113" s="138"/>
      <c r="L113" s="138"/>
      <c r="M113" s="138"/>
      <c r="N113" s="148">
        <f>IF(N$76&lt;&gt;0,N112/N$76*100,"-")</f>
        <v>0</v>
      </c>
      <c r="O113" s="148" t="str">
        <f t="shared" ref="O113:S113" si="111">IF(O$76&lt;&gt;0,O112/O$76*100,"-")</f>
        <v>-</v>
      </c>
      <c r="P113" s="148" t="str">
        <f t="shared" si="111"/>
        <v>-</v>
      </c>
      <c r="Q113" s="148" t="str">
        <f t="shared" si="111"/>
        <v>-</v>
      </c>
      <c r="R113" s="148" t="str">
        <f t="shared" si="111"/>
        <v>-</v>
      </c>
      <c r="S113" s="148">
        <f t="shared" si="111"/>
        <v>0</v>
      </c>
      <c r="Y113" s="138">
        <f>IF(Y$76&lt;&gt;0,Y112/Y$76*100,"-")</f>
        <v>0</v>
      </c>
      <c r="Z113" s="138">
        <f t="shared" ref="Z113:AF113" si="112">IF(Z$76&lt;&gt;0,Z112/Z$76*100,"-")</f>
        <v>0</v>
      </c>
      <c r="AA113" s="138">
        <f t="shared" si="112"/>
        <v>0</v>
      </c>
      <c r="AB113" s="138">
        <f t="shared" si="112"/>
        <v>0</v>
      </c>
      <c r="AC113" s="138">
        <f t="shared" si="112"/>
        <v>0</v>
      </c>
      <c r="AD113" s="138">
        <f t="shared" si="112"/>
        <v>0</v>
      </c>
      <c r="AE113" s="138">
        <f t="shared" si="112"/>
        <v>0</v>
      </c>
      <c r="AF113" s="138">
        <f t="shared" si="112"/>
        <v>0</v>
      </c>
    </row>
    <row r="114" spans="3:32" hidden="1" x14ac:dyDescent="0.2">
      <c r="C114" s="140"/>
      <c r="D114" s="144" t="s">
        <v>163</v>
      </c>
      <c r="E114" s="145" t="s">
        <v>284</v>
      </c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Y114" s="149"/>
      <c r="Z114" s="149"/>
      <c r="AA114" s="149"/>
      <c r="AB114" s="149"/>
      <c r="AC114" s="149"/>
      <c r="AD114" s="149"/>
      <c r="AE114" s="149"/>
      <c r="AF114" s="149"/>
    </row>
    <row r="115" spans="3:32" x14ac:dyDescent="0.2">
      <c r="C115" s="150"/>
      <c r="D115" s="151"/>
      <c r="E115" s="152"/>
      <c r="F115" s="153"/>
      <c r="G115" s="154"/>
      <c r="H115" s="155"/>
      <c r="I115" s="154"/>
      <c r="J115" s="154"/>
      <c r="K115" s="154"/>
      <c r="L115" s="154"/>
      <c r="M115" s="154"/>
      <c r="N115" s="156"/>
      <c r="O115" s="156"/>
      <c r="P115" s="156"/>
      <c r="Q115" s="156"/>
      <c r="R115" s="156"/>
      <c r="S115" s="156"/>
      <c r="Y115" s="154"/>
      <c r="Z115" s="154"/>
      <c r="AA115" s="154"/>
      <c r="AB115" s="154"/>
      <c r="AC115" s="154"/>
      <c r="AD115" s="154"/>
      <c r="AE115" s="154"/>
      <c r="AF115" s="154"/>
    </row>
    <row r="116" spans="3:32" x14ac:dyDescent="0.2">
      <c r="C116" s="157" t="s">
        <v>37</v>
      </c>
      <c r="D116" s="158" t="s">
        <v>78</v>
      </c>
      <c r="E116" s="113" t="s">
        <v>156</v>
      </c>
      <c r="F116" s="159">
        <f>F118+F120+F122+F124+F126</f>
        <v>29.7</v>
      </c>
      <c r="G116" s="159" t="e">
        <f ca="1">G117*G15/1000</f>
        <v>#VALUE!</v>
      </c>
      <c r="H116" s="159">
        <f>H118+H120+H122+H124+H126</f>
        <v>29.7</v>
      </c>
      <c r="I116" s="159" t="e">
        <f ca="1">I117*I15/1000</f>
        <v>#VALUE!</v>
      </c>
      <c r="J116" s="159" t="e">
        <f ca="1">J117*J15/1000</f>
        <v>#VALUE!</v>
      </c>
      <c r="K116" s="159" t="e">
        <f ca="1">K117*K15/1000</f>
        <v>#VALUE!</v>
      </c>
      <c r="L116" s="159" t="e">
        <f ca="1">L117*L15/1000</f>
        <v>#VALUE!</v>
      </c>
      <c r="M116" s="159" t="e">
        <f ca="1">M117*M15/1000</f>
        <v>#VALUE!</v>
      </c>
      <c r="N116" s="159">
        <f>N118+N120+N122+N124+N126</f>
        <v>38.358899999999998</v>
      </c>
      <c r="O116" s="159">
        <f t="shared" ref="O116:S116" si="113">O118+O120+O122+O124+O126</f>
        <v>71.099999999999994</v>
      </c>
      <c r="P116" s="159">
        <f t="shared" si="113"/>
        <v>71.099999999999994</v>
      </c>
      <c r="Q116" s="159">
        <f t="shared" si="113"/>
        <v>71.099999999999994</v>
      </c>
      <c r="R116" s="159">
        <f t="shared" si="113"/>
        <v>71.099999999999994</v>
      </c>
      <c r="S116" s="159">
        <f t="shared" si="113"/>
        <v>38.358899999999998</v>
      </c>
      <c r="Y116" s="159">
        <f>Y118+Y120+Y122+Y124+Y126</f>
        <v>38.358899999999998</v>
      </c>
      <c r="Z116" s="159">
        <f t="shared" ref="Z116:AF116" si="114">Z118+Z120+Z122+Z124+Z126</f>
        <v>23.305900000000005</v>
      </c>
      <c r="AA116" s="159">
        <f t="shared" si="114"/>
        <v>23.305900000000005</v>
      </c>
      <c r="AB116" s="159">
        <f t="shared" si="114"/>
        <v>23.305900000000005</v>
      </c>
      <c r="AC116" s="159">
        <f t="shared" si="114"/>
        <v>23.305900000000005</v>
      </c>
      <c r="AD116" s="159">
        <f t="shared" si="114"/>
        <v>23.305900000000005</v>
      </c>
      <c r="AE116" s="159">
        <f t="shared" si="114"/>
        <v>23.305900000000005</v>
      </c>
      <c r="AF116" s="159">
        <f t="shared" si="114"/>
        <v>23.305900000000005</v>
      </c>
    </row>
    <row r="117" spans="3:32" x14ac:dyDescent="0.2">
      <c r="C117" s="20"/>
      <c r="D117" s="116" t="s">
        <v>164</v>
      </c>
      <c r="E117" s="113" t="s">
        <v>161</v>
      </c>
      <c r="F117" s="125">
        <f t="shared" ref="F117:N117" si="115">IF(F116&lt;&gt;0,F116/(F$15-F$21)*1000,"-")</f>
        <v>29.981829194427618</v>
      </c>
      <c r="G117" s="125" t="e">
        <f t="shared" ca="1" si="115"/>
        <v>#VALUE!</v>
      </c>
      <c r="H117" s="125">
        <f t="shared" si="115"/>
        <v>29.981829194427618</v>
      </c>
      <c r="I117" s="125" t="e">
        <f t="shared" ca="1" si="115"/>
        <v>#VALUE!</v>
      </c>
      <c r="J117" s="125" t="e">
        <f t="shared" ca="1" si="115"/>
        <v>#VALUE!</v>
      </c>
      <c r="K117" s="125" t="e">
        <f t="shared" ca="1" si="115"/>
        <v>#VALUE!</v>
      </c>
      <c r="L117" s="125" t="e">
        <f t="shared" ca="1" si="115"/>
        <v>#VALUE!</v>
      </c>
      <c r="M117" s="125" t="e">
        <f t="shared" ca="1" si="115"/>
        <v>#VALUE!</v>
      </c>
      <c r="N117" s="125">
        <f t="shared" si="115"/>
        <v>27</v>
      </c>
      <c r="O117" s="125">
        <f t="shared" ref="O117:S117" si="116">IF(O116&lt;&gt;0,O116/(O$15-O$21)*1000,"-")</f>
        <v>108.86541111621496</v>
      </c>
      <c r="P117" s="125">
        <f t="shared" si="116"/>
        <v>47.211155378486055</v>
      </c>
      <c r="Q117" s="125">
        <f t="shared" si="116"/>
        <v>47.211155378486055</v>
      </c>
      <c r="R117" s="125">
        <f t="shared" si="116"/>
        <v>47.211155378486055</v>
      </c>
      <c r="S117" s="125">
        <f t="shared" si="116"/>
        <v>27</v>
      </c>
      <c r="Y117" s="125">
        <f t="shared" ref="Y117:AF117" si="117">IF(Y116&lt;&gt;0,Y116/(Y$15-Y$21)*1000,"-")</f>
        <v>27</v>
      </c>
      <c r="Z117" s="125">
        <f t="shared" si="117"/>
        <v>16.404518899134231</v>
      </c>
      <c r="AA117" s="125">
        <f t="shared" si="117"/>
        <v>16.404518899134231</v>
      </c>
      <c r="AB117" s="125">
        <f t="shared" si="117"/>
        <v>16.404518899134231</v>
      </c>
      <c r="AC117" s="125">
        <f t="shared" si="117"/>
        <v>16.404518899134231</v>
      </c>
      <c r="AD117" s="125">
        <f t="shared" si="117"/>
        <v>16.404518899134231</v>
      </c>
      <c r="AE117" s="125">
        <f t="shared" si="117"/>
        <v>16.404518899134231</v>
      </c>
      <c r="AF117" s="125">
        <f t="shared" si="117"/>
        <v>16.404518899134231</v>
      </c>
    </row>
    <row r="118" spans="3:32" x14ac:dyDescent="0.2">
      <c r="C118" s="22"/>
      <c r="D118" s="50" t="s">
        <v>165</v>
      </c>
      <c r="E118" s="113" t="s">
        <v>156</v>
      </c>
      <c r="F118" s="123">
        <v>29.7</v>
      </c>
      <c r="G118" s="124" t="e">
        <f ca="1">G119*G$116</f>
        <v>#VALUE!</v>
      </c>
      <c r="H118" s="123">
        <v>29.7</v>
      </c>
      <c r="I118" s="124"/>
      <c r="J118" s="124"/>
      <c r="K118" s="124"/>
      <c r="L118" s="124"/>
      <c r="M118" s="124"/>
      <c r="N118" s="123">
        <f>N119*N15/1000</f>
        <v>38.358899999999998</v>
      </c>
      <c r="O118" s="123">
        <f t="shared" ref="O118:AF118" si="118">O119*O15/1000</f>
        <v>0</v>
      </c>
      <c r="P118" s="123">
        <f t="shared" si="118"/>
        <v>0</v>
      </c>
      <c r="Q118" s="123">
        <f t="shared" si="118"/>
        <v>0</v>
      </c>
      <c r="R118" s="123">
        <f t="shared" si="118"/>
        <v>0</v>
      </c>
      <c r="S118" s="123">
        <f t="shared" si="118"/>
        <v>38.358899999999998</v>
      </c>
      <c r="T118" s="123">
        <f t="shared" si="118"/>
        <v>0</v>
      </c>
      <c r="U118" s="123">
        <f t="shared" si="118"/>
        <v>0</v>
      </c>
      <c r="V118" s="123">
        <f t="shared" si="118"/>
        <v>0</v>
      </c>
      <c r="W118" s="123">
        <f t="shared" si="118"/>
        <v>0</v>
      </c>
      <c r="X118" s="123">
        <f t="shared" si="118"/>
        <v>0</v>
      </c>
      <c r="Y118" s="123">
        <f t="shared" si="118"/>
        <v>38.358899999999998</v>
      </c>
      <c r="Z118" s="123">
        <f t="shared" si="118"/>
        <v>23.305900000000005</v>
      </c>
      <c r="AA118" s="123">
        <f t="shared" si="118"/>
        <v>23.305900000000005</v>
      </c>
      <c r="AB118" s="123">
        <f t="shared" si="118"/>
        <v>23.305900000000005</v>
      </c>
      <c r="AC118" s="123">
        <f t="shared" si="118"/>
        <v>23.305900000000005</v>
      </c>
      <c r="AD118" s="123">
        <f t="shared" si="118"/>
        <v>23.305900000000005</v>
      </c>
      <c r="AE118" s="123">
        <f t="shared" si="118"/>
        <v>23.305900000000005</v>
      </c>
      <c r="AF118" s="123">
        <f t="shared" si="118"/>
        <v>23.305900000000005</v>
      </c>
    </row>
    <row r="119" spans="3:32" x14ac:dyDescent="0.2">
      <c r="C119" s="58"/>
      <c r="D119" s="116" t="s">
        <v>166</v>
      </c>
      <c r="E119" s="113" t="s">
        <v>161</v>
      </c>
      <c r="F119" s="160">
        <v>29.7</v>
      </c>
      <c r="G119" s="161"/>
      <c r="H119" s="160">
        <v>29.7</v>
      </c>
      <c r="I119" s="162"/>
      <c r="J119" s="162"/>
      <c r="K119" s="162"/>
      <c r="L119" s="162"/>
      <c r="M119" s="162"/>
      <c r="N119" s="160">
        <v>27</v>
      </c>
      <c r="O119" s="160"/>
      <c r="P119" s="160"/>
      <c r="Q119" s="160"/>
      <c r="R119" s="160"/>
      <c r="S119" s="160">
        <f>N119</f>
        <v>27</v>
      </c>
      <c r="Y119" s="160">
        <f>N119</f>
        <v>27</v>
      </c>
      <c r="Z119" s="160">
        <f>23305.9/Z15</f>
        <v>16.404518899134231</v>
      </c>
      <c r="AA119" s="160">
        <f t="shared" ref="AA119:AF119" si="119">23305.9/AA15</f>
        <v>16.404518899134231</v>
      </c>
      <c r="AB119" s="160">
        <f t="shared" si="119"/>
        <v>16.404518899134231</v>
      </c>
      <c r="AC119" s="160">
        <f t="shared" si="119"/>
        <v>16.404518899134231</v>
      </c>
      <c r="AD119" s="160">
        <f t="shared" si="119"/>
        <v>16.404518899134231</v>
      </c>
      <c r="AE119" s="160">
        <f t="shared" si="119"/>
        <v>16.404518899134231</v>
      </c>
      <c r="AF119" s="160">
        <f t="shared" si="119"/>
        <v>16.404518899134231</v>
      </c>
    </row>
    <row r="120" spans="3:32" hidden="1" x14ac:dyDescent="0.2">
      <c r="C120" s="29"/>
      <c r="D120" s="50" t="s">
        <v>167</v>
      </c>
      <c r="E120" s="113" t="s">
        <v>156</v>
      </c>
      <c r="F120" s="123"/>
      <c r="G120" s="124" t="e">
        <f ca="1">G121*G$116</f>
        <v>#VALUE!</v>
      </c>
      <c r="H120" s="123"/>
      <c r="I120" s="124"/>
      <c r="J120" s="124"/>
      <c r="K120" s="124"/>
      <c r="L120" s="124"/>
      <c r="M120" s="124"/>
      <c r="N120" s="123"/>
      <c r="O120" s="123"/>
      <c r="P120" s="123"/>
      <c r="Q120" s="123"/>
      <c r="R120" s="123"/>
      <c r="S120" s="123"/>
      <c r="Y120" s="123"/>
      <c r="Z120" s="123"/>
      <c r="AA120" s="123"/>
      <c r="AB120" s="123"/>
      <c r="AC120" s="123"/>
      <c r="AD120" s="123"/>
      <c r="AE120" s="123"/>
      <c r="AF120" s="123"/>
    </row>
    <row r="121" spans="3:32" hidden="1" x14ac:dyDescent="0.2">
      <c r="C121" s="29"/>
      <c r="D121" s="116" t="s">
        <v>168</v>
      </c>
      <c r="E121" s="113" t="s">
        <v>161</v>
      </c>
      <c r="F121" s="123"/>
      <c r="G121" s="137"/>
      <c r="H121" s="123"/>
      <c r="I121" s="137"/>
      <c r="J121" s="137"/>
      <c r="K121" s="137"/>
      <c r="L121" s="137"/>
      <c r="M121" s="137"/>
      <c r="N121" s="123"/>
      <c r="O121" s="123"/>
      <c r="P121" s="123"/>
      <c r="Q121" s="123"/>
      <c r="R121" s="123"/>
      <c r="S121" s="123"/>
      <c r="Y121" s="123"/>
      <c r="Z121" s="123"/>
      <c r="AA121" s="123"/>
      <c r="AB121" s="123"/>
      <c r="AC121" s="123"/>
      <c r="AD121" s="123"/>
      <c r="AE121" s="123"/>
      <c r="AF121" s="123"/>
    </row>
    <row r="122" spans="3:32" hidden="1" x14ac:dyDescent="0.2">
      <c r="C122" s="29"/>
      <c r="D122" s="50" t="s">
        <v>169</v>
      </c>
      <c r="E122" s="113" t="s">
        <v>156</v>
      </c>
      <c r="F122" s="123"/>
      <c r="G122" s="124" t="e">
        <f ca="1">G123*G$116</f>
        <v>#VALUE!</v>
      </c>
      <c r="H122" s="123"/>
      <c r="I122" s="124" t="e">
        <f ca="1">I123*I$116</f>
        <v>#VALUE!</v>
      </c>
      <c r="J122" s="124" t="e">
        <f ca="1">J123*J$116</f>
        <v>#VALUE!</v>
      </c>
      <c r="K122" s="124" t="e">
        <f ca="1">K123*K$116</f>
        <v>#VALUE!</v>
      </c>
      <c r="L122" s="124" t="e">
        <f ca="1">L123*L$116</f>
        <v>#VALUE!</v>
      </c>
      <c r="M122" s="124" t="e">
        <f ca="1">M123*M$116</f>
        <v>#VALUE!</v>
      </c>
      <c r="N122" s="123"/>
      <c r="O122" s="123">
        <v>71.099999999999994</v>
      </c>
      <c r="P122" s="123">
        <v>71.099999999999994</v>
      </c>
      <c r="Q122" s="123">
        <v>71.099999999999994</v>
      </c>
      <c r="R122" s="123">
        <v>71.099999999999994</v>
      </c>
      <c r="S122" s="123"/>
      <c r="T122" s="123">
        <v>71.099999999999994</v>
      </c>
      <c r="U122" s="123">
        <v>71.099999999999994</v>
      </c>
      <c r="V122" s="123">
        <v>71.099999999999994</v>
      </c>
      <c r="W122" s="123">
        <v>71.099999999999994</v>
      </c>
      <c r="X122" s="123">
        <v>71.099999999999994</v>
      </c>
      <c r="Y122" s="123"/>
      <c r="Z122" s="123"/>
      <c r="AA122" s="123">
        <f t="shared" ref="AA122:AF122" si="120">AA123*AA15/1000</f>
        <v>0</v>
      </c>
      <c r="AB122" s="123">
        <f t="shared" si="120"/>
        <v>0</v>
      </c>
      <c r="AC122" s="123">
        <f t="shared" si="120"/>
        <v>0</v>
      </c>
      <c r="AD122" s="123">
        <f t="shared" si="120"/>
        <v>0</v>
      </c>
      <c r="AE122" s="123">
        <f t="shared" si="120"/>
        <v>0</v>
      </c>
      <c r="AF122" s="123">
        <f t="shared" si="120"/>
        <v>0</v>
      </c>
    </row>
    <row r="123" spans="3:32" hidden="1" x14ac:dyDescent="0.2">
      <c r="C123" s="29"/>
      <c r="D123" s="116" t="s">
        <v>170</v>
      </c>
      <c r="E123" s="113" t="s">
        <v>161</v>
      </c>
      <c r="F123" s="123"/>
      <c r="G123" s="137"/>
      <c r="H123" s="123"/>
      <c r="I123" s="137"/>
      <c r="J123" s="137"/>
      <c r="K123" s="137"/>
      <c r="L123" s="137"/>
      <c r="M123" s="137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</row>
    <row r="124" spans="3:32" hidden="1" x14ac:dyDescent="0.2">
      <c r="C124" s="29"/>
      <c r="D124" s="50" t="s">
        <v>171</v>
      </c>
      <c r="E124" s="113" t="s">
        <v>156</v>
      </c>
      <c r="F124" s="124"/>
      <c r="G124" s="124" t="e">
        <f ca="1">G125*G$116</f>
        <v>#VALUE!</v>
      </c>
      <c r="H124" s="124"/>
      <c r="I124" s="124" t="e">
        <f ca="1">I125*I$116</f>
        <v>#VALUE!</v>
      </c>
      <c r="J124" s="124" t="e">
        <f ca="1">J125*J$116</f>
        <v>#VALUE!</v>
      </c>
      <c r="K124" s="124" t="e">
        <f ca="1">K125*K$116</f>
        <v>#VALUE!</v>
      </c>
      <c r="L124" s="124" t="e">
        <f ca="1">L125*L$116</f>
        <v>#VALUE!</v>
      </c>
      <c r="M124" s="124" t="e">
        <f ca="1">M125*M$116</f>
        <v>#VALUE!</v>
      </c>
      <c r="N124" s="124"/>
      <c r="O124" s="124"/>
      <c r="P124" s="124"/>
      <c r="Q124" s="124"/>
      <c r="R124" s="124"/>
      <c r="S124" s="124"/>
      <c r="Y124" s="124"/>
      <c r="Z124" s="124"/>
      <c r="AA124" s="124"/>
      <c r="AB124" s="124"/>
      <c r="AC124" s="124"/>
      <c r="AD124" s="124"/>
      <c r="AE124" s="124"/>
      <c r="AF124" s="124"/>
    </row>
    <row r="125" spans="3:32" ht="18" hidden="1" customHeight="1" x14ac:dyDescent="0.2">
      <c r="C125" s="29"/>
      <c r="D125" s="116" t="s">
        <v>172</v>
      </c>
      <c r="E125" s="113" t="s">
        <v>161</v>
      </c>
      <c r="F125" s="149"/>
      <c r="G125" s="137"/>
      <c r="H125" s="149"/>
      <c r="I125" s="137"/>
      <c r="J125" s="137"/>
      <c r="K125" s="137"/>
      <c r="L125" s="137"/>
      <c r="M125" s="137"/>
      <c r="N125" s="149"/>
      <c r="O125" s="149"/>
      <c r="P125" s="149"/>
      <c r="Q125" s="149"/>
      <c r="R125" s="149"/>
      <c r="S125" s="149"/>
      <c r="Y125" s="149"/>
      <c r="Z125" s="149"/>
      <c r="AA125" s="149"/>
      <c r="AB125" s="149"/>
      <c r="AC125" s="149"/>
      <c r="AD125" s="149"/>
      <c r="AE125" s="149"/>
      <c r="AF125" s="149"/>
    </row>
    <row r="126" spans="3:32" hidden="1" x14ac:dyDescent="0.2">
      <c r="C126" s="29"/>
      <c r="D126" s="50" t="s">
        <v>173</v>
      </c>
      <c r="E126" s="113" t="s">
        <v>156</v>
      </c>
      <c r="F126" s="124"/>
      <c r="G126" s="124" t="e">
        <f ca="1">G127*G$116</f>
        <v>#VALUE!</v>
      </c>
      <c r="H126" s="124"/>
      <c r="I126" s="124" t="e">
        <f ca="1">I127*I$116</f>
        <v>#VALUE!</v>
      </c>
      <c r="J126" s="124" t="e">
        <f ca="1">J127*J$116</f>
        <v>#VALUE!</v>
      </c>
      <c r="K126" s="124" t="e">
        <f ca="1">K127*K$116</f>
        <v>#VALUE!</v>
      </c>
      <c r="L126" s="124" t="e">
        <f ca="1">L127*L$116</f>
        <v>#VALUE!</v>
      </c>
      <c r="M126" s="124" t="e">
        <f ca="1">M127*M$116</f>
        <v>#VALUE!</v>
      </c>
      <c r="N126" s="124"/>
      <c r="O126" s="124"/>
      <c r="P126" s="124"/>
      <c r="Q126" s="124"/>
      <c r="R126" s="124"/>
      <c r="S126" s="124"/>
      <c r="Y126" s="124"/>
      <c r="Z126" s="124"/>
      <c r="AA126" s="124"/>
      <c r="AB126" s="124"/>
      <c r="AC126" s="124"/>
      <c r="AD126" s="124"/>
      <c r="AE126" s="124"/>
      <c r="AF126" s="124"/>
    </row>
    <row r="127" spans="3:32" ht="18" hidden="1" customHeight="1" x14ac:dyDescent="0.2">
      <c r="C127" s="29"/>
      <c r="D127" s="116" t="s">
        <v>174</v>
      </c>
      <c r="E127" s="113" t="s">
        <v>161</v>
      </c>
      <c r="F127" s="149"/>
      <c r="G127" s="137"/>
      <c r="H127" s="149"/>
      <c r="I127" s="137"/>
      <c r="J127" s="137"/>
      <c r="K127" s="137"/>
      <c r="L127" s="137"/>
      <c r="M127" s="137"/>
      <c r="N127" s="149"/>
      <c r="O127" s="149"/>
      <c r="P127" s="149"/>
      <c r="Q127" s="149"/>
      <c r="R127" s="149"/>
      <c r="S127" s="149"/>
      <c r="Y127" s="149"/>
      <c r="Z127" s="149"/>
      <c r="AA127" s="149"/>
      <c r="AB127" s="149"/>
      <c r="AC127" s="149"/>
      <c r="AD127" s="149"/>
      <c r="AE127" s="149"/>
      <c r="AF127" s="149"/>
    </row>
    <row r="128" spans="3:32" x14ac:dyDescent="0.2">
      <c r="E128" s="163"/>
      <c r="F128" s="164"/>
      <c r="G128" s="164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Y128" s="165"/>
      <c r="Z128" s="165"/>
      <c r="AA128" s="165"/>
      <c r="AB128" s="165"/>
      <c r="AC128" s="165"/>
      <c r="AD128" s="165"/>
      <c r="AE128" s="165"/>
      <c r="AF128" s="165"/>
    </row>
    <row r="129" spans="3:32" x14ac:dyDescent="0.2">
      <c r="C129" s="166" t="s">
        <v>43</v>
      </c>
      <c r="D129" s="167" t="s">
        <v>80</v>
      </c>
      <c r="E129" s="163"/>
      <c r="F129" s="168"/>
      <c r="G129" s="169"/>
      <c r="H129" s="170"/>
      <c r="I129" s="169"/>
      <c r="J129" s="169"/>
      <c r="K129" s="169"/>
      <c r="L129" s="169"/>
      <c r="M129" s="169"/>
      <c r="N129" s="171"/>
      <c r="O129" s="171"/>
      <c r="P129" s="171"/>
      <c r="Q129" s="171"/>
      <c r="R129" s="171"/>
      <c r="S129" s="171"/>
      <c r="Y129" s="169"/>
      <c r="Z129" s="169"/>
      <c r="AA129" s="169"/>
      <c r="AB129" s="169"/>
      <c r="AC129" s="169"/>
      <c r="AD129" s="169"/>
      <c r="AE129" s="169"/>
      <c r="AF129" s="169"/>
    </row>
    <row r="130" spans="3:32" x14ac:dyDescent="0.2">
      <c r="C130" s="22"/>
      <c r="D130" s="50" t="s">
        <v>282</v>
      </c>
      <c r="E130" s="113" t="s">
        <v>175</v>
      </c>
      <c r="F130" s="124">
        <f t="shared" ref="F130:S130" si="121">F131*F$15</f>
        <v>396.24</v>
      </c>
      <c r="G130" s="124">
        <f t="shared" si="121"/>
        <v>0</v>
      </c>
      <c r="H130" s="124">
        <f t="shared" si="121"/>
        <v>396.24</v>
      </c>
      <c r="I130" s="124">
        <f t="shared" si="121"/>
        <v>0</v>
      </c>
      <c r="J130" s="124">
        <f t="shared" si="121"/>
        <v>0</v>
      </c>
      <c r="K130" s="124">
        <f t="shared" si="121"/>
        <v>0</v>
      </c>
      <c r="L130" s="124">
        <f t="shared" si="121"/>
        <v>0</v>
      </c>
      <c r="M130" s="124">
        <f t="shared" si="121"/>
        <v>0</v>
      </c>
      <c r="N130" s="124">
        <f t="shared" si="121"/>
        <v>355.17500000000001</v>
      </c>
      <c r="O130" s="124">
        <f t="shared" si="121"/>
        <v>0</v>
      </c>
      <c r="P130" s="124">
        <f t="shared" si="121"/>
        <v>0</v>
      </c>
      <c r="Q130" s="124">
        <f t="shared" si="121"/>
        <v>0</v>
      </c>
      <c r="R130" s="124">
        <f t="shared" si="121"/>
        <v>0</v>
      </c>
      <c r="S130" s="124">
        <f t="shared" si="121"/>
        <v>355.17500000000001</v>
      </c>
      <c r="T130" s="29"/>
      <c r="U130" s="29"/>
      <c r="V130" s="29"/>
      <c r="W130" s="29"/>
      <c r="X130" s="29"/>
      <c r="Y130" s="124">
        <f t="shared" ref="Y130:AF130" si="122">Y131*Y$15</f>
        <v>355.17500000000001</v>
      </c>
      <c r="Z130" s="124">
        <f t="shared" si="122"/>
        <v>475.7</v>
      </c>
      <c r="AA130" s="124">
        <f t="shared" si="122"/>
        <v>475.7</v>
      </c>
      <c r="AB130" s="124">
        <f t="shared" si="122"/>
        <v>475.7</v>
      </c>
      <c r="AC130" s="124">
        <f t="shared" si="122"/>
        <v>475.7</v>
      </c>
      <c r="AD130" s="124">
        <f t="shared" si="122"/>
        <v>475.7</v>
      </c>
      <c r="AE130" s="124">
        <f t="shared" si="122"/>
        <v>475.7</v>
      </c>
      <c r="AF130" s="124">
        <f t="shared" si="122"/>
        <v>475.7</v>
      </c>
    </row>
    <row r="131" spans="3:32" x14ac:dyDescent="0.2">
      <c r="C131" s="58"/>
      <c r="D131" s="116" t="s">
        <v>176</v>
      </c>
      <c r="E131" s="113" t="s">
        <v>177</v>
      </c>
      <c r="F131" s="172">
        <v>0.4</v>
      </c>
      <c r="G131" s="137"/>
      <c r="H131" s="146">
        <v>0.4</v>
      </c>
      <c r="I131" s="137"/>
      <c r="J131" s="137"/>
      <c r="K131" s="137"/>
      <c r="L131" s="137"/>
      <c r="M131" s="137"/>
      <c r="N131" s="59">
        <v>0.25</v>
      </c>
      <c r="O131" s="59"/>
      <c r="P131" s="59"/>
      <c r="Q131" s="59"/>
      <c r="R131" s="59"/>
      <c r="S131" s="59">
        <v>0.25</v>
      </c>
      <c r="T131" s="29"/>
      <c r="U131" s="29"/>
      <c r="V131" s="29"/>
      <c r="W131" s="29"/>
      <c r="X131" s="29"/>
      <c r="Y131" s="137">
        <v>0.25</v>
      </c>
      <c r="Z131" s="60">
        <f>475.7/Z15</f>
        <v>0.33483494052227775</v>
      </c>
      <c r="AA131" s="60">
        <f t="shared" ref="AA131:AF131" si="123">475.7/AA15</f>
        <v>0.33483494052227775</v>
      </c>
      <c r="AB131" s="60">
        <f t="shared" si="123"/>
        <v>0.33483494052227775</v>
      </c>
      <c r="AC131" s="60">
        <f t="shared" si="123"/>
        <v>0.33483494052227775</v>
      </c>
      <c r="AD131" s="60">
        <f t="shared" si="123"/>
        <v>0.33483494052227775</v>
      </c>
      <c r="AE131" s="60">
        <f t="shared" si="123"/>
        <v>0.33483494052227775</v>
      </c>
      <c r="AF131" s="60">
        <f t="shared" si="123"/>
        <v>0.33483494052227775</v>
      </c>
    </row>
    <row r="132" spans="3:32" x14ac:dyDescent="0.2">
      <c r="C132" s="22"/>
      <c r="D132" s="50" t="s">
        <v>285</v>
      </c>
      <c r="E132" s="113" t="s">
        <v>175</v>
      </c>
      <c r="F132" s="124">
        <f t="shared" ref="F132:S132" si="124">F133*F$15</f>
        <v>0</v>
      </c>
      <c r="G132" s="124">
        <f t="shared" si="124"/>
        <v>0</v>
      </c>
      <c r="H132" s="124">
        <f t="shared" si="124"/>
        <v>0</v>
      </c>
      <c r="I132" s="124">
        <f t="shared" si="124"/>
        <v>0</v>
      </c>
      <c r="J132" s="124">
        <f t="shared" si="124"/>
        <v>0</v>
      </c>
      <c r="K132" s="124">
        <f t="shared" si="124"/>
        <v>0</v>
      </c>
      <c r="L132" s="124">
        <f t="shared" si="124"/>
        <v>0</v>
      </c>
      <c r="M132" s="124">
        <f t="shared" si="124"/>
        <v>0</v>
      </c>
      <c r="N132" s="124">
        <f t="shared" si="124"/>
        <v>0</v>
      </c>
      <c r="O132" s="124">
        <f t="shared" si="124"/>
        <v>0</v>
      </c>
      <c r="P132" s="124">
        <f t="shared" si="124"/>
        <v>0</v>
      </c>
      <c r="Q132" s="124">
        <f t="shared" si="124"/>
        <v>0</v>
      </c>
      <c r="R132" s="124">
        <f t="shared" si="124"/>
        <v>0</v>
      </c>
      <c r="S132" s="124">
        <f t="shared" si="124"/>
        <v>0</v>
      </c>
      <c r="T132" s="29"/>
      <c r="U132" s="29"/>
      <c r="V132" s="29"/>
      <c r="W132" s="29"/>
      <c r="X132" s="29"/>
      <c r="Y132" s="124">
        <f t="shared" ref="Y132:AF132" si="125">Y133*Y$15</f>
        <v>0</v>
      </c>
      <c r="Z132" s="124">
        <f t="shared" si="125"/>
        <v>304.10000000000002</v>
      </c>
      <c r="AA132" s="124">
        <f t="shared" si="125"/>
        <v>304.10000000000002</v>
      </c>
      <c r="AB132" s="124">
        <f t="shared" si="125"/>
        <v>304.10000000000002</v>
      </c>
      <c r="AC132" s="124">
        <f t="shared" si="125"/>
        <v>304.10000000000002</v>
      </c>
      <c r="AD132" s="124">
        <f t="shared" si="125"/>
        <v>304.10000000000002</v>
      </c>
      <c r="AE132" s="124">
        <f t="shared" si="125"/>
        <v>304.10000000000002</v>
      </c>
      <c r="AF132" s="124">
        <f t="shared" si="125"/>
        <v>304.10000000000002</v>
      </c>
    </row>
    <row r="133" spans="3:32" x14ac:dyDescent="0.2">
      <c r="C133" s="58"/>
      <c r="D133" s="116" t="s">
        <v>277</v>
      </c>
      <c r="E133" s="113" t="s">
        <v>177</v>
      </c>
      <c r="F133" s="172"/>
      <c r="G133" s="137"/>
      <c r="H133" s="146"/>
      <c r="I133" s="137"/>
      <c r="J133" s="137"/>
      <c r="K133" s="137"/>
      <c r="L133" s="137"/>
      <c r="M133" s="137"/>
      <c r="N133" s="59"/>
      <c r="O133" s="59"/>
      <c r="P133" s="59"/>
      <c r="Q133" s="59"/>
      <c r="R133" s="59"/>
      <c r="S133" s="59"/>
      <c r="T133" s="29"/>
      <c r="U133" s="29"/>
      <c r="V133" s="29"/>
      <c r="W133" s="29"/>
      <c r="X133" s="29"/>
      <c r="Y133" s="137"/>
      <c r="Z133" s="60">
        <f>304.1/Z15</f>
        <v>0.21404941226156121</v>
      </c>
      <c r="AA133" s="60">
        <f t="shared" ref="AA133:AF133" si="126">304.1/AA15</f>
        <v>0.21404941226156121</v>
      </c>
      <c r="AB133" s="60">
        <f t="shared" si="126"/>
        <v>0.21404941226156121</v>
      </c>
      <c r="AC133" s="60">
        <f t="shared" si="126"/>
        <v>0.21404941226156121</v>
      </c>
      <c r="AD133" s="60">
        <f t="shared" si="126"/>
        <v>0.21404941226156121</v>
      </c>
      <c r="AE133" s="60">
        <f t="shared" si="126"/>
        <v>0.21404941226156121</v>
      </c>
      <c r="AF133" s="60">
        <f t="shared" si="126"/>
        <v>0.21404941226156121</v>
      </c>
    </row>
    <row r="134" spans="3:32" x14ac:dyDescent="0.2">
      <c r="E134" s="163"/>
      <c r="F134" s="173"/>
      <c r="G134" s="174"/>
      <c r="H134" s="175"/>
      <c r="I134" s="174"/>
      <c r="J134" s="174"/>
      <c r="K134" s="174"/>
      <c r="L134" s="174"/>
      <c r="M134" s="174"/>
      <c r="N134" s="176"/>
      <c r="O134" s="176"/>
      <c r="P134" s="176"/>
      <c r="Q134" s="176"/>
      <c r="R134" s="176"/>
      <c r="S134" s="176"/>
      <c r="T134" s="177"/>
      <c r="U134" s="177"/>
      <c r="V134" s="177"/>
      <c r="W134" s="177"/>
      <c r="X134" s="177"/>
      <c r="Y134" s="169"/>
      <c r="Z134" s="169"/>
      <c r="AA134" s="169"/>
      <c r="AB134" s="169"/>
      <c r="AC134" s="169"/>
      <c r="AD134" s="169"/>
      <c r="AE134" s="169"/>
      <c r="AF134" s="169"/>
    </row>
    <row r="135" spans="3:32" x14ac:dyDescent="0.2">
      <c r="C135" s="166" t="s">
        <v>46</v>
      </c>
      <c r="D135" s="178" t="s">
        <v>82</v>
      </c>
      <c r="E135" s="163"/>
      <c r="F135" s="173"/>
      <c r="G135" s="174"/>
      <c r="H135" s="175"/>
      <c r="I135" s="174"/>
      <c r="J135" s="174"/>
      <c r="K135" s="174"/>
      <c r="L135" s="174"/>
      <c r="M135" s="174"/>
      <c r="N135" s="176"/>
      <c r="O135" s="176"/>
      <c r="P135" s="176"/>
      <c r="Q135" s="176"/>
      <c r="R135" s="176"/>
      <c r="S135" s="176"/>
      <c r="T135" s="177"/>
      <c r="U135" s="177"/>
      <c r="V135" s="177"/>
      <c r="W135" s="177"/>
      <c r="X135" s="177"/>
      <c r="Y135" s="169"/>
      <c r="Z135" s="169"/>
      <c r="AA135" s="169"/>
      <c r="AB135" s="169"/>
      <c r="AC135" s="169"/>
      <c r="AD135" s="169"/>
      <c r="AE135" s="169"/>
      <c r="AF135" s="169"/>
    </row>
    <row r="136" spans="3:32" x14ac:dyDescent="0.2">
      <c r="C136" s="22"/>
      <c r="D136" s="50" t="s">
        <v>178</v>
      </c>
      <c r="E136" s="113" t="s">
        <v>179</v>
      </c>
      <c r="F136" s="123"/>
      <c r="G136" s="137"/>
      <c r="H136" s="146"/>
      <c r="I136" s="137"/>
      <c r="J136" s="137"/>
      <c r="K136" s="137"/>
      <c r="L136" s="137"/>
      <c r="M136" s="137"/>
      <c r="N136" s="59"/>
      <c r="O136" s="59"/>
      <c r="P136" s="59"/>
      <c r="Q136" s="59"/>
      <c r="R136" s="59"/>
      <c r="S136" s="59"/>
      <c r="T136" s="58"/>
      <c r="U136" s="29"/>
      <c r="V136" s="29"/>
      <c r="W136" s="29"/>
      <c r="X136" s="29"/>
      <c r="Y136" s="137"/>
      <c r="Z136" s="137">
        <f>Z137*Z15</f>
        <v>178.4</v>
      </c>
      <c r="AA136" s="137">
        <f t="shared" ref="AA136:AF136" si="127">AA137*AA15</f>
        <v>178.4</v>
      </c>
      <c r="AB136" s="137">
        <f t="shared" si="127"/>
        <v>178.4</v>
      </c>
      <c r="AC136" s="137">
        <f t="shared" si="127"/>
        <v>178.4</v>
      </c>
      <c r="AD136" s="137">
        <f t="shared" si="127"/>
        <v>178.4</v>
      </c>
      <c r="AE136" s="137">
        <f t="shared" si="127"/>
        <v>178.4</v>
      </c>
      <c r="AF136" s="137">
        <f t="shared" si="127"/>
        <v>178.4</v>
      </c>
    </row>
    <row r="137" spans="3:32" x14ac:dyDescent="0.2">
      <c r="C137" s="58"/>
      <c r="D137" s="116" t="s">
        <v>180</v>
      </c>
      <c r="E137" s="179" t="str">
        <f>CONCATENATE(E136,"/Гкал")</f>
        <v>кг/Гкал</v>
      </c>
      <c r="F137" s="123"/>
      <c r="G137" s="137"/>
      <c r="H137" s="146"/>
      <c r="I137" s="137"/>
      <c r="J137" s="137"/>
      <c r="K137" s="137"/>
      <c r="L137" s="137"/>
      <c r="M137" s="137"/>
      <c r="N137" s="59"/>
      <c r="O137" s="59"/>
      <c r="P137" s="59"/>
      <c r="Q137" s="59"/>
      <c r="R137" s="59"/>
      <c r="S137" s="59"/>
      <c r="T137" s="58"/>
      <c r="U137" s="29"/>
      <c r="V137" s="29"/>
      <c r="W137" s="29"/>
      <c r="X137" s="29"/>
      <c r="Y137" s="137"/>
      <c r="Z137" s="180">
        <f>178.4/Z15</f>
        <v>0.12557190117547687</v>
      </c>
      <c r="AA137" s="180">
        <f t="shared" ref="AA137:AF137" si="128">178.4/AA15</f>
        <v>0.12557190117547687</v>
      </c>
      <c r="AB137" s="180">
        <f t="shared" si="128"/>
        <v>0.12557190117547687</v>
      </c>
      <c r="AC137" s="180">
        <f t="shared" si="128"/>
        <v>0.12557190117547687</v>
      </c>
      <c r="AD137" s="180">
        <f t="shared" si="128"/>
        <v>0.12557190117547687</v>
      </c>
      <c r="AE137" s="180">
        <f t="shared" si="128"/>
        <v>0.12557190117547687</v>
      </c>
      <c r="AF137" s="180">
        <f t="shared" si="128"/>
        <v>0.12557190117547687</v>
      </c>
    </row>
    <row r="138" spans="3:32" x14ac:dyDescent="0.2">
      <c r="C138" s="29"/>
      <c r="D138" s="50" t="s">
        <v>181</v>
      </c>
      <c r="E138" s="113" t="s">
        <v>179</v>
      </c>
      <c r="F138" s="181"/>
      <c r="G138" s="182"/>
      <c r="H138" s="183"/>
      <c r="I138" s="182"/>
      <c r="J138" s="182"/>
      <c r="K138" s="182"/>
      <c r="L138" s="182"/>
      <c r="M138" s="182"/>
      <c r="N138" s="184"/>
      <c r="O138" s="184"/>
      <c r="P138" s="184"/>
      <c r="Q138" s="184"/>
      <c r="R138" s="184"/>
      <c r="S138" s="184"/>
      <c r="T138" s="29"/>
      <c r="U138" s="29"/>
      <c r="V138" s="29"/>
      <c r="W138" s="29"/>
      <c r="X138" s="29"/>
      <c r="Y138" s="182"/>
      <c r="Z138" s="137">
        <f>1.284*0.75*1000</f>
        <v>963.00000000000011</v>
      </c>
      <c r="AA138" s="137">
        <f t="shared" ref="AA138:AF138" si="129">1.284*0.75*1000</f>
        <v>963.00000000000011</v>
      </c>
      <c r="AB138" s="137">
        <f t="shared" si="129"/>
        <v>963.00000000000011</v>
      </c>
      <c r="AC138" s="137">
        <f t="shared" si="129"/>
        <v>963.00000000000011</v>
      </c>
      <c r="AD138" s="137">
        <f t="shared" si="129"/>
        <v>963.00000000000011</v>
      </c>
      <c r="AE138" s="137">
        <f t="shared" si="129"/>
        <v>963.00000000000011</v>
      </c>
      <c r="AF138" s="137">
        <f t="shared" si="129"/>
        <v>963.00000000000011</v>
      </c>
    </row>
    <row r="139" spans="3:32" x14ac:dyDescent="0.2">
      <c r="C139" s="29"/>
      <c r="D139" s="116" t="s">
        <v>182</v>
      </c>
      <c r="E139" s="179" t="str">
        <f>CONCATENATE(E138,"/Гкал")</f>
        <v>кг/Гкал</v>
      </c>
      <c r="F139" s="181"/>
      <c r="G139" s="182"/>
      <c r="H139" s="183"/>
      <c r="I139" s="182"/>
      <c r="J139" s="182"/>
      <c r="K139" s="182"/>
      <c r="L139" s="182"/>
      <c r="M139" s="182"/>
      <c r="N139" s="184"/>
      <c r="O139" s="184"/>
      <c r="P139" s="184"/>
      <c r="Q139" s="184"/>
      <c r="R139" s="184"/>
      <c r="S139" s="184"/>
      <c r="T139" s="29"/>
      <c r="U139" s="29"/>
      <c r="V139" s="29"/>
      <c r="W139" s="29"/>
      <c r="X139" s="29"/>
      <c r="Y139" s="182"/>
      <c r="Z139" s="185">
        <f>Z138/Z15</f>
        <v>0.67783487013444088</v>
      </c>
      <c r="AA139" s="185">
        <f t="shared" ref="AA139:AF139" si="130">AA138/AA15</f>
        <v>0.67783487013444088</v>
      </c>
      <c r="AB139" s="185">
        <f t="shared" si="130"/>
        <v>0.67783487013444088</v>
      </c>
      <c r="AC139" s="185">
        <f t="shared" si="130"/>
        <v>0.67783487013444088</v>
      </c>
      <c r="AD139" s="185">
        <f t="shared" si="130"/>
        <v>0.67783487013444088</v>
      </c>
      <c r="AE139" s="185">
        <f t="shared" si="130"/>
        <v>0.67783487013444088</v>
      </c>
      <c r="AF139" s="185">
        <f t="shared" si="130"/>
        <v>0.67783487013444088</v>
      </c>
    </row>
    <row r="140" spans="3:32" hidden="1" x14ac:dyDescent="0.2">
      <c r="C140" s="186"/>
      <c r="D140" s="141" t="s">
        <v>162</v>
      </c>
      <c r="E140" s="142" t="s">
        <v>179</v>
      </c>
      <c r="F140" s="187"/>
      <c r="G140" s="188"/>
      <c r="H140" s="189"/>
      <c r="I140" s="188"/>
      <c r="J140" s="188"/>
      <c r="K140" s="188"/>
      <c r="L140" s="188"/>
      <c r="M140" s="188"/>
      <c r="N140" s="190"/>
      <c r="O140" s="190"/>
      <c r="P140" s="190"/>
      <c r="Q140" s="190"/>
      <c r="R140" s="190"/>
      <c r="S140" s="190"/>
      <c r="T140" s="29"/>
      <c r="U140" s="29"/>
      <c r="V140" s="29"/>
      <c r="W140" s="29"/>
      <c r="X140" s="29"/>
      <c r="Y140" s="188"/>
      <c r="Z140" s="188"/>
      <c r="AA140" s="188"/>
      <c r="AB140" s="188"/>
      <c r="AC140" s="188"/>
      <c r="AD140" s="188"/>
      <c r="AE140" s="188"/>
      <c r="AF140" s="188"/>
    </row>
    <row r="141" spans="3:32" hidden="1" x14ac:dyDescent="0.2">
      <c r="C141" s="140"/>
      <c r="D141" s="144" t="s">
        <v>183</v>
      </c>
      <c r="E141" s="191" t="str">
        <f>CONCATENATE(E140,"/Гкал")</f>
        <v>кг/Гкал</v>
      </c>
      <c r="F141" s="123"/>
      <c r="G141" s="137"/>
      <c r="H141" s="146"/>
      <c r="I141" s="137"/>
      <c r="J141" s="137"/>
      <c r="K141" s="137"/>
      <c r="L141" s="137"/>
      <c r="M141" s="137"/>
      <c r="N141" s="59"/>
      <c r="O141" s="59"/>
      <c r="P141" s="59"/>
      <c r="Q141" s="59"/>
      <c r="R141" s="59"/>
      <c r="S141" s="59"/>
      <c r="T141" s="29"/>
      <c r="U141" s="29"/>
      <c r="V141" s="29"/>
      <c r="W141" s="29"/>
      <c r="X141" s="29"/>
      <c r="Y141" s="137"/>
      <c r="Z141" s="137"/>
      <c r="AA141" s="137"/>
      <c r="AB141" s="137"/>
      <c r="AC141" s="137"/>
      <c r="AD141" s="137"/>
      <c r="AE141" s="137"/>
      <c r="AF141" s="137"/>
    </row>
    <row r="142" spans="3:32" x14ac:dyDescent="0.2">
      <c r="C142" s="107"/>
      <c r="D142" s="107"/>
      <c r="E142" s="192"/>
      <c r="F142" s="193"/>
      <c r="G142" s="194"/>
      <c r="H142" s="195"/>
      <c r="I142" s="194"/>
      <c r="J142" s="194"/>
      <c r="K142" s="194"/>
      <c r="L142" s="194"/>
      <c r="M142" s="194"/>
      <c r="N142" s="196"/>
      <c r="O142" s="196"/>
      <c r="P142" s="196"/>
      <c r="Q142" s="196"/>
      <c r="R142" s="196"/>
      <c r="S142" s="196"/>
      <c r="T142" s="177"/>
      <c r="U142" s="177"/>
      <c r="V142" s="177"/>
      <c r="W142" s="177"/>
      <c r="X142" s="177"/>
      <c r="Y142" s="197"/>
      <c r="Z142" s="197"/>
      <c r="AA142" s="197"/>
      <c r="AB142" s="197"/>
      <c r="AC142" s="197"/>
      <c r="AD142" s="197"/>
      <c r="AE142" s="197"/>
      <c r="AF142" s="197"/>
    </row>
    <row r="143" spans="3:32" ht="18" x14ac:dyDescent="0.25">
      <c r="D143" s="198" t="s">
        <v>184</v>
      </c>
      <c r="E143" s="163"/>
      <c r="F143" s="173"/>
      <c r="G143" s="174"/>
      <c r="H143" s="175"/>
      <c r="I143" s="174"/>
      <c r="J143" s="174"/>
      <c r="K143" s="174"/>
      <c r="L143" s="174"/>
      <c r="M143" s="174"/>
      <c r="N143" s="176"/>
      <c r="O143" s="176"/>
      <c r="P143" s="176"/>
      <c r="Q143" s="176"/>
      <c r="R143" s="176"/>
      <c r="S143" s="176"/>
      <c r="T143" s="177"/>
      <c r="U143" s="177"/>
      <c r="V143" s="177"/>
      <c r="W143" s="177"/>
      <c r="X143" s="177"/>
      <c r="Y143" s="169"/>
      <c r="Z143" s="169"/>
      <c r="AA143" s="169"/>
      <c r="AB143" s="169"/>
      <c r="AC143" s="169"/>
      <c r="AD143" s="169"/>
      <c r="AE143" s="169"/>
      <c r="AF143" s="169"/>
    </row>
    <row r="144" spans="3:32" ht="19.5" customHeight="1" x14ac:dyDescent="0.2">
      <c r="C144" s="15" t="s">
        <v>185</v>
      </c>
      <c r="D144" s="199" t="s">
        <v>186</v>
      </c>
      <c r="E144" s="113" t="s">
        <v>187</v>
      </c>
      <c r="F144" s="123"/>
      <c r="G144" s="200"/>
      <c r="H144" s="146"/>
      <c r="I144" s="200"/>
      <c r="J144" s="200"/>
      <c r="K144" s="200"/>
      <c r="L144" s="200"/>
      <c r="M144" s="200"/>
      <c r="N144" s="124">
        <f t="shared" ref="N144:X144" si="131">N148+N149+N146*N85/7900</f>
        <v>3763.8987139240508</v>
      </c>
      <c r="O144" s="124">
        <f t="shared" si="131"/>
        <v>0</v>
      </c>
      <c r="P144" s="124">
        <f t="shared" si="131"/>
        <v>0</v>
      </c>
      <c r="Q144" s="124">
        <f t="shared" si="131"/>
        <v>0</v>
      </c>
      <c r="R144" s="124">
        <f t="shared" si="131"/>
        <v>0</v>
      </c>
      <c r="S144" s="124">
        <f t="shared" si="131"/>
        <v>3763.8987139240508</v>
      </c>
      <c r="T144" s="124">
        <f t="shared" si="131"/>
        <v>0</v>
      </c>
      <c r="U144" s="124">
        <f t="shared" si="131"/>
        <v>0</v>
      </c>
      <c r="V144" s="124">
        <f t="shared" si="131"/>
        <v>0</v>
      </c>
      <c r="W144" s="124">
        <f t="shared" si="131"/>
        <v>0</v>
      </c>
      <c r="X144" s="124">
        <f t="shared" si="131"/>
        <v>0</v>
      </c>
      <c r="Y144" s="124">
        <f>Y148+Y149+Y146*Y85/7900</f>
        <v>4674.2355230347694</v>
      </c>
      <c r="Z144" s="124">
        <f t="shared" ref="Z144:AF144" si="132">Z148+Z149+Z146*Z85/7900</f>
        <v>5330.9246292899843</v>
      </c>
      <c r="AA144" s="124">
        <f t="shared" si="132"/>
        <v>6083.0947583738825</v>
      </c>
      <c r="AB144" s="124">
        <f t="shared" si="132"/>
        <v>6944.8625443793117</v>
      </c>
      <c r="AC144" s="124">
        <f t="shared" si="132"/>
        <v>7932.4481411985098</v>
      </c>
      <c r="AD144" s="124">
        <f t="shared" si="132"/>
        <v>9064.4898001716265</v>
      </c>
      <c r="AE144" s="124">
        <f t="shared" si="132"/>
        <v>13710.777205140943</v>
      </c>
      <c r="AF144" s="124">
        <f t="shared" si="132"/>
        <v>17422.212451190415</v>
      </c>
    </row>
    <row r="145" spans="3:32" ht="19.5" customHeight="1" x14ac:dyDescent="0.2">
      <c r="C145" s="58"/>
      <c r="D145" s="199" t="s">
        <v>188</v>
      </c>
      <c r="E145" s="113" t="s">
        <v>187</v>
      </c>
      <c r="F145" s="124"/>
      <c r="G145" s="201"/>
      <c r="H145" s="114"/>
      <c r="I145" s="201"/>
      <c r="J145" s="201"/>
      <c r="K145" s="201"/>
      <c r="L145" s="201"/>
      <c r="M145" s="201"/>
      <c r="N145" s="202">
        <f t="shared" ref="N145:X145" si="133">N148+N149+N147*N85/7900</f>
        <v>430.34</v>
      </c>
      <c r="O145" s="202">
        <f t="shared" si="133"/>
        <v>0</v>
      </c>
      <c r="P145" s="202">
        <f t="shared" si="133"/>
        <v>0</v>
      </c>
      <c r="Q145" s="202">
        <f t="shared" si="133"/>
        <v>0</v>
      </c>
      <c r="R145" s="202">
        <f t="shared" si="133"/>
        <v>0</v>
      </c>
      <c r="S145" s="202">
        <f t="shared" si="133"/>
        <v>430.34</v>
      </c>
      <c r="T145" s="202">
        <f t="shared" si="133"/>
        <v>0</v>
      </c>
      <c r="U145" s="202">
        <f t="shared" si="133"/>
        <v>0</v>
      </c>
      <c r="V145" s="202">
        <f t="shared" si="133"/>
        <v>0</v>
      </c>
      <c r="W145" s="202">
        <f t="shared" si="133"/>
        <v>0</v>
      </c>
      <c r="X145" s="202">
        <f t="shared" si="133"/>
        <v>0</v>
      </c>
      <c r="Y145" s="202">
        <f>Y148+Y149+Y147*Y85/7900</f>
        <v>542.02710000000002</v>
      </c>
      <c r="Z145" s="202">
        <f t="shared" ref="Z145:AF145" si="134">Z148+Z149+Z147*Z85/7900</f>
        <v>578.88494279999998</v>
      </c>
      <c r="AA145" s="202">
        <f t="shared" si="134"/>
        <v>618.24911891040006</v>
      </c>
      <c r="AB145" s="202">
        <f t="shared" si="134"/>
        <v>660.29005899630727</v>
      </c>
      <c r="AC145" s="202">
        <f t="shared" si="134"/>
        <v>705.18978300805611</v>
      </c>
      <c r="AD145" s="202">
        <f t="shared" si="134"/>
        <v>753.14268825260399</v>
      </c>
      <c r="AE145" s="202">
        <f t="shared" si="134"/>
        <v>911.30265278565071</v>
      </c>
      <c r="AF145" s="202">
        <f t="shared" si="134"/>
        <v>1038.8850241756418</v>
      </c>
    </row>
    <row r="146" spans="3:32" ht="19.5" customHeight="1" x14ac:dyDescent="0.2">
      <c r="C146" s="58"/>
      <c r="D146" s="199" t="s">
        <v>189</v>
      </c>
      <c r="E146" s="113" t="s">
        <v>187</v>
      </c>
      <c r="F146" s="123"/>
      <c r="G146" s="200"/>
      <c r="H146" s="146"/>
      <c r="I146" s="200"/>
      <c r="J146" s="200"/>
      <c r="K146" s="200"/>
      <c r="L146" s="200"/>
      <c r="M146" s="200"/>
      <c r="N146" s="59">
        <v>3294.36</v>
      </c>
      <c r="O146" s="59"/>
      <c r="P146" s="59"/>
      <c r="Q146" s="59"/>
      <c r="R146" s="59"/>
      <c r="S146" s="59">
        <v>3294.36</v>
      </c>
      <c r="Y146" s="123">
        <v>4083.618531645569</v>
      </c>
      <c r="Z146" s="205">
        <f>Y146*1.15</f>
        <v>4696.1613113924041</v>
      </c>
      <c r="AA146" s="205">
        <f t="shared" ref="AA146" si="135">Z146*1.15</f>
        <v>5400.5855081012642</v>
      </c>
      <c r="AB146" s="205">
        <f t="shared" ref="AB146" si="136">AA146*1.15</f>
        <v>6210.6733343164533</v>
      </c>
      <c r="AC146" s="205">
        <f>AB146*1.15</f>
        <v>7142.2743344639212</v>
      </c>
      <c r="AD146" s="205">
        <f>AC146*1.15</f>
        <v>8213.6154846335085</v>
      </c>
      <c r="AE146" s="205">
        <f>AD146*1.54</f>
        <v>12648.967846335603</v>
      </c>
      <c r="AF146" s="205">
        <f>AE146*1.28</f>
        <v>16190.678843309572</v>
      </c>
    </row>
    <row r="147" spans="3:32" ht="19.5" customHeight="1" x14ac:dyDescent="0.2">
      <c r="C147" s="58"/>
      <c r="D147" s="199" t="s">
        <v>190</v>
      </c>
      <c r="E147" s="113" t="s">
        <v>187</v>
      </c>
      <c r="F147" s="123"/>
      <c r="G147" s="200"/>
      <c r="H147" s="146"/>
      <c r="I147" s="200"/>
      <c r="J147" s="200"/>
      <c r="K147" s="200"/>
      <c r="L147" s="200"/>
      <c r="M147" s="200"/>
      <c r="N147" s="59"/>
      <c r="O147" s="59"/>
      <c r="P147" s="59"/>
      <c r="Q147" s="59"/>
      <c r="R147" s="59"/>
      <c r="S147" s="59"/>
      <c r="Y147" s="123"/>
      <c r="Z147" s="123"/>
      <c r="AA147" s="123"/>
      <c r="AB147" s="123"/>
      <c r="AC147" s="123"/>
      <c r="AD147" s="123"/>
      <c r="AE147" s="123"/>
      <c r="AF147" s="123"/>
    </row>
    <row r="148" spans="3:32" ht="19.5" customHeight="1" x14ac:dyDescent="0.2">
      <c r="C148" s="58"/>
      <c r="D148" s="203" t="s">
        <v>191</v>
      </c>
      <c r="E148" s="113" t="s">
        <v>187</v>
      </c>
      <c r="F148" s="123"/>
      <c r="G148" s="200"/>
      <c r="H148" s="146"/>
      <c r="I148" s="200"/>
      <c r="J148" s="200"/>
      <c r="K148" s="200"/>
      <c r="L148" s="200"/>
      <c r="M148" s="200"/>
      <c r="N148" s="59">
        <v>352.84</v>
      </c>
      <c r="O148" s="59"/>
      <c r="P148" s="59"/>
      <c r="Q148" s="59"/>
      <c r="R148" s="59"/>
      <c r="S148" s="59">
        <v>352.84</v>
      </c>
      <c r="Y148" s="123">
        <v>438.18119999999999</v>
      </c>
      <c r="Z148" s="62">
        <f>Y148*1.068</f>
        <v>467.97752159999999</v>
      </c>
      <c r="AA148" s="62">
        <f>Z148*1.068</f>
        <v>499.79999306880001</v>
      </c>
      <c r="AB148" s="62">
        <f t="shared" ref="AB148:AB149" si="137">AA148*1.068</f>
        <v>533.78639259747843</v>
      </c>
      <c r="AC148" s="62">
        <f t="shared" ref="AC148:AC149" si="138">AB148*1.068</f>
        <v>570.08386729410699</v>
      </c>
      <c r="AD148" s="62">
        <f t="shared" ref="AD148:AD149" si="139">AC148*1.068</f>
        <v>608.84957027010626</v>
      </c>
      <c r="AE148" s="62">
        <f>AD148*1.21</f>
        <v>736.70798002682852</v>
      </c>
      <c r="AF148" s="62">
        <f>AE148*1.14</f>
        <v>839.8470972305845</v>
      </c>
    </row>
    <row r="149" spans="3:32" ht="19.5" customHeight="1" x14ac:dyDescent="0.2">
      <c r="C149" s="58"/>
      <c r="D149" s="203" t="s">
        <v>192</v>
      </c>
      <c r="E149" s="113" t="s">
        <v>187</v>
      </c>
      <c r="F149" s="123"/>
      <c r="G149" s="200"/>
      <c r="H149" s="146"/>
      <c r="I149" s="200"/>
      <c r="J149" s="200"/>
      <c r="K149" s="200"/>
      <c r="L149" s="200"/>
      <c r="M149" s="200"/>
      <c r="N149" s="59">
        <v>77.5</v>
      </c>
      <c r="O149" s="59"/>
      <c r="P149" s="59"/>
      <c r="Q149" s="59"/>
      <c r="R149" s="59"/>
      <c r="S149" s="59">
        <v>77.5</v>
      </c>
      <c r="Y149" s="123">
        <v>103.84589999999999</v>
      </c>
      <c r="Z149" s="62">
        <f>Y149*1.068</f>
        <v>110.90742119999999</v>
      </c>
      <c r="AA149" s="62">
        <f>Z149*1.068</f>
        <v>118.44912584159999</v>
      </c>
      <c r="AB149" s="62">
        <f t="shared" si="137"/>
        <v>126.5036663988288</v>
      </c>
      <c r="AC149" s="62">
        <f t="shared" si="138"/>
        <v>135.10591571394917</v>
      </c>
      <c r="AD149" s="62">
        <f t="shared" si="139"/>
        <v>144.29311798249773</v>
      </c>
      <c r="AE149" s="62">
        <f>AD149*1.21</f>
        <v>174.59467275882224</v>
      </c>
      <c r="AF149" s="62">
        <f>AE149*1.14</f>
        <v>199.03792694505734</v>
      </c>
    </row>
    <row r="150" spans="3:32" ht="19.5" hidden="1" customHeight="1" x14ac:dyDescent="0.2">
      <c r="C150" s="15" t="s">
        <v>31</v>
      </c>
      <c r="D150" s="203" t="s">
        <v>193</v>
      </c>
      <c r="E150" s="113" t="s">
        <v>194</v>
      </c>
      <c r="F150" s="124">
        <f>F151+F152+F153</f>
        <v>0</v>
      </c>
      <c r="G150" s="124"/>
      <c r="H150" s="124">
        <f>H151+H152+H153</f>
        <v>0</v>
      </c>
      <c r="I150" s="124"/>
      <c r="J150" s="124"/>
      <c r="K150" s="124"/>
      <c r="L150" s="124"/>
      <c r="M150" s="124"/>
      <c r="N150" s="124">
        <f>N151+N152+N153</f>
        <v>3195.09</v>
      </c>
      <c r="O150" s="124">
        <f t="shared" ref="O150:S150" si="140">O151+O152+O153</f>
        <v>0</v>
      </c>
      <c r="P150" s="124">
        <f t="shared" si="140"/>
        <v>0</v>
      </c>
      <c r="Q150" s="124">
        <f t="shared" si="140"/>
        <v>0</v>
      </c>
      <c r="R150" s="124">
        <f t="shared" si="140"/>
        <v>0</v>
      </c>
      <c r="S150" s="124">
        <f t="shared" si="140"/>
        <v>3195.09</v>
      </c>
      <c r="Y150" s="124">
        <f>Y151+Y152+Y153</f>
        <v>3871.2999999999997</v>
      </c>
      <c r="Z150" s="254">
        <f t="shared" ref="Z150:AF150" si="141">Z151+Z152+Z153</f>
        <v>4134.5483999999997</v>
      </c>
      <c r="AA150" s="254">
        <f t="shared" si="141"/>
        <v>4415.6976912</v>
      </c>
      <c r="AB150" s="254">
        <f t="shared" si="141"/>
        <v>4715.9651342016004</v>
      </c>
      <c r="AC150" s="254">
        <f t="shared" si="141"/>
        <v>5036.6507633273095</v>
      </c>
      <c r="AD150" s="254">
        <f t="shared" si="141"/>
        <v>5379.143015233567</v>
      </c>
      <c r="AE150" s="254">
        <f t="shared" si="141"/>
        <v>5744.92474026945</v>
      </c>
      <c r="AF150" s="254">
        <f t="shared" si="141"/>
        <v>6135.5796226077719</v>
      </c>
    </row>
    <row r="151" spans="3:32" ht="19.5" hidden="1" customHeight="1" x14ac:dyDescent="0.2">
      <c r="C151" s="58"/>
      <c r="D151" s="203" t="s">
        <v>195</v>
      </c>
      <c r="E151" s="113" t="s">
        <v>194</v>
      </c>
      <c r="F151" s="123"/>
      <c r="G151" s="200"/>
      <c r="H151" s="146"/>
      <c r="I151" s="200"/>
      <c r="J151" s="200"/>
      <c r="K151" s="200"/>
      <c r="L151" s="200"/>
      <c r="M151" s="200"/>
      <c r="N151" s="59">
        <v>2850.9</v>
      </c>
      <c r="O151" s="59"/>
      <c r="P151" s="59"/>
      <c r="Q151" s="59"/>
      <c r="R151" s="59"/>
      <c r="S151" s="59">
        <v>2850.9</v>
      </c>
      <c r="Y151" s="200">
        <v>3432.75</v>
      </c>
      <c r="Z151" s="255">
        <f>Y151*1.068</f>
        <v>3666.1770000000001</v>
      </c>
      <c r="AA151" s="255">
        <f t="shared" ref="AA151:AF151" si="142">Z151*1.068</f>
        <v>3915.4770360000002</v>
      </c>
      <c r="AB151" s="255">
        <f t="shared" si="142"/>
        <v>4181.7294744480005</v>
      </c>
      <c r="AC151" s="255">
        <f t="shared" si="142"/>
        <v>4466.087078710465</v>
      </c>
      <c r="AD151" s="255">
        <f t="shared" si="142"/>
        <v>4769.7810000627769</v>
      </c>
      <c r="AE151" s="255">
        <f t="shared" si="142"/>
        <v>5094.1261080670456</v>
      </c>
      <c r="AF151" s="255">
        <f t="shared" si="142"/>
        <v>5440.5266834156046</v>
      </c>
    </row>
    <row r="152" spans="3:32" ht="19.5" hidden="1" customHeight="1" x14ac:dyDescent="0.2">
      <c r="C152" s="58"/>
      <c r="D152" s="203" t="s">
        <v>196</v>
      </c>
      <c r="E152" s="113" t="s">
        <v>194</v>
      </c>
      <c r="F152" s="123"/>
      <c r="G152" s="200"/>
      <c r="H152" s="146"/>
      <c r="I152" s="200"/>
      <c r="J152" s="200"/>
      <c r="K152" s="200"/>
      <c r="L152" s="200"/>
      <c r="M152" s="200"/>
      <c r="N152" s="59">
        <v>344.19</v>
      </c>
      <c r="O152" s="59"/>
      <c r="P152" s="59"/>
      <c r="Q152" s="59"/>
      <c r="R152" s="59"/>
      <c r="S152" s="59">
        <v>344.19</v>
      </c>
      <c r="Y152" s="200">
        <v>344.2</v>
      </c>
      <c r="Z152" s="255">
        <f t="shared" ref="Z152:AF153" si="143">Y152*1.068</f>
        <v>367.60559999999998</v>
      </c>
      <c r="AA152" s="255">
        <f t="shared" si="143"/>
        <v>392.60278080000001</v>
      </c>
      <c r="AB152" s="255">
        <f t="shared" si="143"/>
        <v>419.29976989440001</v>
      </c>
      <c r="AC152" s="255">
        <f t="shared" si="143"/>
        <v>447.81215424721927</v>
      </c>
      <c r="AD152" s="255">
        <f t="shared" si="143"/>
        <v>478.26338073603023</v>
      </c>
      <c r="AE152" s="255">
        <f t="shared" si="143"/>
        <v>510.78529062608033</v>
      </c>
      <c r="AF152" s="255">
        <f t="shared" si="143"/>
        <v>545.51869038865379</v>
      </c>
    </row>
    <row r="153" spans="3:32" ht="19.5" hidden="1" customHeight="1" x14ac:dyDescent="0.2">
      <c r="C153" s="58"/>
      <c r="D153" s="203" t="s">
        <v>197</v>
      </c>
      <c r="E153" s="113" t="s">
        <v>194</v>
      </c>
      <c r="F153" s="123"/>
      <c r="G153" s="200"/>
      <c r="H153" s="146"/>
      <c r="I153" s="200"/>
      <c r="J153" s="200"/>
      <c r="K153" s="200"/>
      <c r="L153" s="200"/>
      <c r="M153" s="200"/>
      <c r="N153" s="59"/>
      <c r="O153" s="59"/>
      <c r="P153" s="59"/>
      <c r="Q153" s="59"/>
      <c r="R153" s="59"/>
      <c r="S153" s="59"/>
      <c r="Y153" s="200">
        <v>94.34999999999998</v>
      </c>
      <c r="Z153" s="255">
        <f t="shared" si="143"/>
        <v>100.76579999999998</v>
      </c>
      <c r="AA153" s="255">
        <f t="shared" si="143"/>
        <v>107.61787439999999</v>
      </c>
      <c r="AB153" s="255">
        <f t="shared" si="143"/>
        <v>114.9358898592</v>
      </c>
      <c r="AC153" s="255">
        <f t="shared" si="143"/>
        <v>122.75153036962561</v>
      </c>
      <c r="AD153" s="255">
        <f t="shared" si="143"/>
        <v>131.09863443476016</v>
      </c>
      <c r="AE153" s="255">
        <f t="shared" si="143"/>
        <v>140.01334157632385</v>
      </c>
      <c r="AF153" s="255">
        <f t="shared" si="143"/>
        <v>149.53424880351389</v>
      </c>
    </row>
    <row r="154" spans="3:32" ht="19.5" hidden="1" customHeight="1" x14ac:dyDescent="0.2">
      <c r="C154" s="15" t="s">
        <v>32</v>
      </c>
      <c r="D154" s="203" t="s">
        <v>198</v>
      </c>
      <c r="E154" s="113" t="s">
        <v>199</v>
      </c>
      <c r="F154" s="124">
        <f>F155+F156+F157</f>
        <v>398.2</v>
      </c>
      <c r="G154" s="201"/>
      <c r="H154" s="114">
        <f>H155+H156+H157</f>
        <v>234</v>
      </c>
      <c r="I154" s="201"/>
      <c r="J154" s="201"/>
      <c r="K154" s="201"/>
      <c r="L154" s="201"/>
      <c r="M154" s="201"/>
      <c r="N154" s="51">
        <f>N155+N156+N157</f>
        <v>531.47</v>
      </c>
      <c r="O154" s="51">
        <f t="shared" ref="O154:S154" si="144">O155+O156+O157</f>
        <v>423.5</v>
      </c>
      <c r="P154" s="51">
        <f t="shared" si="144"/>
        <v>424.5</v>
      </c>
      <c r="Q154" s="51">
        <f t="shared" si="144"/>
        <v>425.5</v>
      </c>
      <c r="R154" s="51">
        <f t="shared" si="144"/>
        <v>426.5</v>
      </c>
      <c r="S154" s="51">
        <f t="shared" si="144"/>
        <v>539.77</v>
      </c>
      <c r="Y154" s="51">
        <f>Y155+Y156+Y157</f>
        <v>569</v>
      </c>
      <c r="Z154" s="51">
        <f t="shared" ref="Z154:AF154" si="145">Z155+Z156+Z157</f>
        <v>607.69200000000001</v>
      </c>
      <c r="AA154" s="51">
        <f t="shared" si="145"/>
        <v>649.01505600000007</v>
      </c>
      <c r="AB154" s="51">
        <f t="shared" si="145"/>
        <v>684.06186902400009</v>
      </c>
      <c r="AC154" s="51">
        <f t="shared" si="145"/>
        <v>721.00120995129612</v>
      </c>
      <c r="AD154" s="51">
        <f t="shared" si="145"/>
        <v>759.93527528866616</v>
      </c>
      <c r="AE154" s="51">
        <f t="shared" si="145"/>
        <v>919.52168309928595</v>
      </c>
      <c r="AF154" s="51">
        <f t="shared" si="145"/>
        <v>1048.2547187331859</v>
      </c>
    </row>
    <row r="155" spans="3:32" ht="19.5" hidden="1" customHeight="1" x14ac:dyDescent="0.2">
      <c r="C155" s="58"/>
      <c r="D155" s="203" t="s">
        <v>200</v>
      </c>
      <c r="E155" s="113" t="s">
        <v>199</v>
      </c>
      <c r="F155" s="123">
        <v>398.2</v>
      </c>
      <c r="G155" s="200"/>
      <c r="H155" s="204">
        <v>234</v>
      </c>
      <c r="I155" s="200"/>
      <c r="J155" s="200"/>
      <c r="K155" s="200"/>
      <c r="L155" s="200"/>
      <c r="M155" s="200"/>
      <c r="N155" s="59">
        <v>506</v>
      </c>
      <c r="O155" s="59">
        <v>423.5</v>
      </c>
      <c r="P155" s="59">
        <v>424.5</v>
      </c>
      <c r="Q155" s="59">
        <v>425.5</v>
      </c>
      <c r="R155" s="59">
        <v>426.5</v>
      </c>
      <c r="S155" s="59">
        <v>518.9</v>
      </c>
      <c r="Y155" s="205">
        <v>500</v>
      </c>
      <c r="Z155" s="205">
        <f>Y155*1.068</f>
        <v>534</v>
      </c>
      <c r="AA155" s="205">
        <f>Z155*1.068</f>
        <v>570.31200000000001</v>
      </c>
      <c r="AB155" s="205">
        <f t="shared" ref="AB155:AD156" si="146">AA155*1.054</f>
        <v>601.10884800000008</v>
      </c>
      <c r="AC155" s="205">
        <f t="shared" si="146"/>
        <v>633.56872579200012</v>
      </c>
      <c r="AD155" s="205">
        <f t="shared" si="146"/>
        <v>667.78143698476811</v>
      </c>
      <c r="AE155" s="205">
        <f>AD155*1.21</f>
        <v>808.01553875156935</v>
      </c>
      <c r="AF155" s="205">
        <f>AE155*1.14</f>
        <v>921.13771417678902</v>
      </c>
    </row>
    <row r="156" spans="3:32" ht="19.5" hidden="1" customHeight="1" x14ac:dyDescent="0.2">
      <c r="C156" s="58"/>
      <c r="D156" s="203" t="s">
        <v>201</v>
      </c>
      <c r="E156" s="113" t="s">
        <v>199</v>
      </c>
      <c r="F156" s="123"/>
      <c r="G156" s="200"/>
      <c r="H156" s="146"/>
      <c r="I156" s="200"/>
      <c r="J156" s="200"/>
      <c r="K156" s="200"/>
      <c r="L156" s="200"/>
      <c r="M156" s="200"/>
      <c r="N156" s="59">
        <v>25.47</v>
      </c>
      <c r="O156" s="59"/>
      <c r="P156" s="59"/>
      <c r="Q156" s="59"/>
      <c r="R156" s="59"/>
      <c r="S156" s="59">
        <v>20.87</v>
      </c>
      <c r="Y156" s="200">
        <v>69</v>
      </c>
      <c r="Z156" s="205">
        <f>Y156*1.068</f>
        <v>73.692000000000007</v>
      </c>
      <c r="AA156" s="205">
        <f>Z156*1.068</f>
        <v>78.703056000000018</v>
      </c>
      <c r="AB156" s="205">
        <f t="shared" si="146"/>
        <v>82.953021024000023</v>
      </c>
      <c r="AC156" s="205">
        <f t="shared" si="146"/>
        <v>87.432484159296024</v>
      </c>
      <c r="AD156" s="205">
        <f t="shared" si="146"/>
        <v>92.153838303898013</v>
      </c>
      <c r="AE156" s="205">
        <f>AD156*1.21</f>
        <v>111.50614434771659</v>
      </c>
      <c r="AF156" s="205">
        <f>AE156*1.14</f>
        <v>127.11700455639689</v>
      </c>
    </row>
    <row r="157" spans="3:32" ht="19.5" hidden="1" customHeight="1" x14ac:dyDescent="0.2">
      <c r="C157" s="58"/>
      <c r="D157" s="203" t="s">
        <v>202</v>
      </c>
      <c r="E157" s="113" t="s">
        <v>199</v>
      </c>
      <c r="F157" s="123"/>
      <c r="G157" s="200"/>
      <c r="H157" s="146"/>
      <c r="I157" s="200"/>
      <c r="J157" s="200"/>
      <c r="K157" s="200"/>
      <c r="L157" s="200"/>
      <c r="M157" s="200"/>
      <c r="N157" s="59"/>
      <c r="O157" s="59"/>
      <c r="P157" s="59"/>
      <c r="Q157" s="59"/>
      <c r="R157" s="59"/>
      <c r="S157" s="59"/>
      <c r="Y157" s="200"/>
      <c r="Z157" s="200"/>
      <c r="AA157" s="200"/>
      <c r="AB157" s="200"/>
      <c r="AC157" s="200"/>
      <c r="AD157" s="200"/>
      <c r="AE157" s="200"/>
      <c r="AF157" s="200"/>
    </row>
    <row r="158" spans="3:32" ht="19.5" hidden="1" customHeight="1" x14ac:dyDescent="0.2">
      <c r="C158" s="15" t="s">
        <v>34</v>
      </c>
      <c r="D158" s="203" t="s">
        <v>203</v>
      </c>
      <c r="E158" s="113" t="s">
        <v>194</v>
      </c>
      <c r="F158" s="124">
        <f>F159+F160</f>
        <v>0</v>
      </c>
      <c r="G158" s="201"/>
      <c r="H158" s="114">
        <f>H159+H160</f>
        <v>0</v>
      </c>
      <c r="I158" s="201"/>
      <c r="J158" s="201"/>
      <c r="K158" s="201"/>
      <c r="L158" s="201"/>
      <c r="M158" s="201"/>
      <c r="N158" s="51">
        <f>N159+N160</f>
        <v>0</v>
      </c>
      <c r="O158" s="51">
        <f t="shared" ref="O158:S158" si="147">O159+O160</f>
        <v>0</v>
      </c>
      <c r="P158" s="51">
        <f t="shared" si="147"/>
        <v>0</v>
      </c>
      <c r="Q158" s="51">
        <f t="shared" si="147"/>
        <v>0</v>
      </c>
      <c r="R158" s="51">
        <f t="shared" si="147"/>
        <v>0</v>
      </c>
      <c r="S158" s="51">
        <f t="shared" si="147"/>
        <v>0</v>
      </c>
      <c r="Y158" s="51">
        <f>Y159+Y160</f>
        <v>0</v>
      </c>
      <c r="Z158" s="51">
        <f t="shared" ref="Z158:AF158" si="148">Z159+Z160</f>
        <v>0</v>
      </c>
      <c r="AA158" s="51">
        <f t="shared" si="148"/>
        <v>0</v>
      </c>
      <c r="AB158" s="51">
        <f t="shared" si="148"/>
        <v>0</v>
      </c>
      <c r="AC158" s="51">
        <f t="shared" si="148"/>
        <v>0</v>
      </c>
      <c r="AD158" s="51">
        <f t="shared" si="148"/>
        <v>0</v>
      </c>
      <c r="AE158" s="51">
        <f t="shared" si="148"/>
        <v>0</v>
      </c>
      <c r="AF158" s="51">
        <f t="shared" si="148"/>
        <v>0</v>
      </c>
    </row>
    <row r="159" spans="3:32" ht="19.5" hidden="1" customHeight="1" x14ac:dyDescent="0.2">
      <c r="C159" s="58"/>
      <c r="D159" s="203" t="s">
        <v>204</v>
      </c>
      <c r="E159" s="113" t="s">
        <v>194</v>
      </c>
      <c r="F159" s="123"/>
      <c r="G159" s="200"/>
      <c r="H159" s="146"/>
      <c r="I159" s="200"/>
      <c r="J159" s="200"/>
      <c r="K159" s="200"/>
      <c r="L159" s="200"/>
      <c r="M159" s="200"/>
      <c r="N159" s="59"/>
      <c r="O159" s="59"/>
      <c r="P159" s="59"/>
      <c r="Q159" s="59"/>
      <c r="R159" s="59"/>
      <c r="S159" s="59"/>
      <c r="Y159" s="200"/>
      <c r="Z159" s="200"/>
      <c r="AA159" s="200"/>
      <c r="AB159" s="200"/>
      <c r="AC159" s="200"/>
      <c r="AD159" s="200"/>
      <c r="AE159" s="200"/>
      <c r="AF159" s="200"/>
    </row>
    <row r="160" spans="3:32" ht="19.5" hidden="1" customHeight="1" x14ac:dyDescent="0.2">
      <c r="C160" s="58"/>
      <c r="D160" s="203" t="s">
        <v>205</v>
      </c>
      <c r="E160" s="113" t="s">
        <v>194</v>
      </c>
      <c r="F160" s="123"/>
      <c r="G160" s="200"/>
      <c r="H160" s="146"/>
      <c r="I160" s="200"/>
      <c r="J160" s="200"/>
      <c r="K160" s="200"/>
      <c r="L160" s="200"/>
      <c r="M160" s="200"/>
      <c r="N160" s="59"/>
      <c r="O160" s="59"/>
      <c r="P160" s="59"/>
      <c r="Q160" s="59"/>
      <c r="R160" s="59"/>
      <c r="S160" s="59"/>
      <c r="Y160" s="200"/>
      <c r="Z160" s="200"/>
      <c r="AA160" s="200"/>
      <c r="AB160" s="200"/>
      <c r="AC160" s="200"/>
      <c r="AD160" s="200"/>
      <c r="AE160" s="200"/>
      <c r="AF160" s="200"/>
    </row>
    <row r="161" spans="3:32" ht="19.5" hidden="1" customHeight="1" x14ac:dyDescent="0.2">
      <c r="C161" s="15" t="s">
        <v>33</v>
      </c>
      <c r="D161" s="203" t="s">
        <v>206</v>
      </c>
      <c r="E161" s="113" t="s">
        <v>199</v>
      </c>
      <c r="F161" s="124">
        <f>F162+F163</f>
        <v>0</v>
      </c>
      <c r="G161" s="201"/>
      <c r="H161" s="114">
        <f>H162+H163</f>
        <v>0</v>
      </c>
      <c r="I161" s="201"/>
      <c r="J161" s="201"/>
      <c r="K161" s="201"/>
      <c r="L161" s="201"/>
      <c r="M161" s="201"/>
      <c r="N161" s="51">
        <f>N162+N163</f>
        <v>0</v>
      </c>
      <c r="O161" s="51">
        <f t="shared" ref="O161:S161" si="149">O162+O163</f>
        <v>0</v>
      </c>
      <c r="P161" s="51">
        <f t="shared" si="149"/>
        <v>0</v>
      </c>
      <c r="Q161" s="51">
        <f t="shared" si="149"/>
        <v>0</v>
      </c>
      <c r="R161" s="51">
        <f t="shared" si="149"/>
        <v>0</v>
      </c>
      <c r="S161" s="51">
        <f t="shared" si="149"/>
        <v>0</v>
      </c>
      <c r="Y161" s="51">
        <f>Y162+Y163</f>
        <v>0</v>
      </c>
      <c r="Z161" s="51">
        <f t="shared" ref="Z161:AF161" si="150">Z162+Z163</f>
        <v>0</v>
      </c>
      <c r="AA161" s="51">
        <f t="shared" si="150"/>
        <v>0</v>
      </c>
      <c r="AB161" s="51">
        <f t="shared" si="150"/>
        <v>0</v>
      </c>
      <c r="AC161" s="51">
        <f t="shared" si="150"/>
        <v>0</v>
      </c>
      <c r="AD161" s="51">
        <f t="shared" si="150"/>
        <v>0</v>
      </c>
      <c r="AE161" s="51">
        <f t="shared" si="150"/>
        <v>0</v>
      </c>
      <c r="AF161" s="51">
        <f t="shared" si="150"/>
        <v>0</v>
      </c>
    </row>
    <row r="162" spans="3:32" ht="19.5" hidden="1" customHeight="1" x14ac:dyDescent="0.2">
      <c r="D162" s="203" t="s">
        <v>207</v>
      </c>
      <c r="E162" s="113" t="s">
        <v>199</v>
      </c>
      <c r="F162" s="123"/>
      <c r="G162" s="200"/>
      <c r="H162" s="146"/>
      <c r="I162" s="200"/>
      <c r="J162" s="200"/>
      <c r="K162" s="200"/>
      <c r="L162" s="200"/>
      <c r="M162" s="200"/>
      <c r="N162" s="59"/>
      <c r="O162" s="59"/>
      <c r="P162" s="59"/>
      <c r="Q162" s="59"/>
      <c r="R162" s="59"/>
      <c r="S162" s="59"/>
      <c r="Y162" s="200"/>
      <c r="Z162" s="200"/>
      <c r="AA162" s="200"/>
      <c r="AB162" s="200"/>
      <c r="AC162" s="200"/>
      <c r="AD162" s="200"/>
      <c r="AE162" s="200"/>
      <c r="AF162" s="200"/>
    </row>
    <row r="163" spans="3:32" ht="19.5" hidden="1" customHeight="1" x14ac:dyDescent="0.2">
      <c r="C163" s="58"/>
      <c r="D163" s="203" t="s">
        <v>208</v>
      </c>
      <c r="E163" s="113" t="s">
        <v>199</v>
      </c>
      <c r="F163" s="123"/>
      <c r="G163" s="200"/>
      <c r="H163" s="146"/>
      <c r="I163" s="200"/>
      <c r="J163" s="200"/>
      <c r="K163" s="200"/>
      <c r="L163" s="200"/>
      <c r="M163" s="200"/>
      <c r="N163" s="59"/>
      <c r="O163" s="59"/>
      <c r="P163" s="59"/>
      <c r="Q163" s="59"/>
      <c r="R163" s="59"/>
      <c r="S163" s="59"/>
      <c r="Y163" s="200"/>
      <c r="Z163" s="200"/>
      <c r="AA163" s="200"/>
      <c r="AB163" s="200"/>
      <c r="AC163" s="200"/>
      <c r="AD163" s="200"/>
      <c r="AE163" s="200"/>
      <c r="AF163" s="200"/>
    </row>
    <row r="164" spans="3:32" ht="19.5" hidden="1" customHeight="1" x14ac:dyDescent="0.2">
      <c r="C164" s="206" t="s">
        <v>209</v>
      </c>
      <c r="D164" s="207" t="s">
        <v>210</v>
      </c>
      <c r="E164" s="142" t="s">
        <v>211</v>
      </c>
      <c r="F164" s="143">
        <f>F165+F166</f>
        <v>0</v>
      </c>
      <c r="G164" s="208"/>
      <c r="H164" s="209">
        <f>H165+H166</f>
        <v>0</v>
      </c>
      <c r="I164" s="208"/>
      <c r="J164" s="208"/>
      <c r="K164" s="208"/>
      <c r="L164" s="208"/>
      <c r="M164" s="208"/>
      <c r="N164" s="210">
        <f>N165+N166</f>
        <v>0</v>
      </c>
      <c r="O164" s="210">
        <f t="shared" ref="O164:S164" si="151">O165+O166</f>
        <v>0</v>
      </c>
      <c r="P164" s="210">
        <f t="shared" si="151"/>
        <v>0</v>
      </c>
      <c r="Q164" s="210">
        <f t="shared" si="151"/>
        <v>0</v>
      </c>
      <c r="R164" s="210">
        <f t="shared" si="151"/>
        <v>0</v>
      </c>
      <c r="S164" s="210">
        <f t="shared" si="151"/>
        <v>0</v>
      </c>
      <c r="Y164" s="209">
        <f>Y165+Y166</f>
        <v>0</v>
      </c>
      <c r="Z164" s="209">
        <f t="shared" ref="Z164:AF164" si="152">Z165+Z166</f>
        <v>0</v>
      </c>
      <c r="AA164" s="209">
        <f t="shared" si="152"/>
        <v>0</v>
      </c>
      <c r="AB164" s="209">
        <f t="shared" si="152"/>
        <v>0</v>
      </c>
      <c r="AC164" s="209">
        <f t="shared" si="152"/>
        <v>0</v>
      </c>
      <c r="AD164" s="209">
        <f t="shared" si="152"/>
        <v>0</v>
      </c>
      <c r="AE164" s="209">
        <f t="shared" si="152"/>
        <v>0</v>
      </c>
      <c r="AF164" s="209">
        <f t="shared" si="152"/>
        <v>0</v>
      </c>
    </row>
    <row r="165" spans="3:32" ht="19.5" hidden="1" customHeight="1" x14ac:dyDescent="0.2">
      <c r="C165" s="140"/>
      <c r="D165" s="211" t="s">
        <v>212</v>
      </c>
      <c r="E165" s="145" t="s">
        <v>211</v>
      </c>
      <c r="F165" s="123"/>
      <c r="G165" s="200"/>
      <c r="H165" s="146"/>
      <c r="I165" s="200"/>
      <c r="J165" s="200"/>
      <c r="K165" s="200"/>
      <c r="L165" s="200"/>
      <c r="M165" s="200"/>
      <c r="N165" s="59"/>
      <c r="O165" s="59"/>
      <c r="P165" s="59"/>
      <c r="Q165" s="59"/>
      <c r="R165" s="59"/>
      <c r="S165" s="59"/>
      <c r="Y165" s="200"/>
      <c r="Z165" s="200"/>
      <c r="AA165" s="205"/>
      <c r="AB165" s="205"/>
      <c r="AC165" s="205"/>
      <c r="AD165" s="205"/>
      <c r="AE165" s="205"/>
      <c r="AF165" s="205"/>
    </row>
    <row r="166" spans="3:32" ht="19.5" hidden="1" customHeight="1" x14ac:dyDescent="0.2">
      <c r="C166" s="140"/>
      <c r="D166" s="203" t="s">
        <v>213</v>
      </c>
      <c r="E166" s="145" t="s">
        <v>211</v>
      </c>
      <c r="F166" s="123"/>
      <c r="G166" s="200"/>
      <c r="H166" s="146"/>
      <c r="I166" s="200"/>
      <c r="J166" s="200"/>
      <c r="K166" s="200"/>
      <c r="L166" s="200"/>
      <c r="M166" s="200"/>
      <c r="N166" s="59"/>
      <c r="O166" s="59"/>
      <c r="P166" s="59"/>
      <c r="Q166" s="59"/>
      <c r="R166" s="59"/>
      <c r="S166" s="59"/>
      <c r="Y166" s="200"/>
      <c r="Z166" s="200"/>
      <c r="AA166" s="200"/>
      <c r="AB166" s="200"/>
      <c r="AC166" s="200"/>
      <c r="AD166" s="200"/>
      <c r="AE166" s="200"/>
      <c r="AF166" s="200"/>
    </row>
    <row r="167" spans="3:32" ht="11.25" customHeight="1" x14ac:dyDescent="0.2">
      <c r="E167" s="163"/>
      <c r="F167" s="173"/>
      <c r="G167" s="174"/>
      <c r="H167" s="175"/>
      <c r="I167" s="174"/>
      <c r="J167" s="174"/>
      <c r="K167" s="174"/>
      <c r="L167" s="174"/>
      <c r="M167" s="174"/>
      <c r="N167" s="176"/>
      <c r="O167" s="176"/>
      <c r="P167" s="176"/>
      <c r="Q167" s="176"/>
      <c r="R167" s="176"/>
      <c r="S167" s="176"/>
      <c r="Y167" s="174"/>
      <c r="Z167" s="174"/>
      <c r="AA167" s="174"/>
      <c r="AB167" s="174"/>
      <c r="AC167" s="174"/>
      <c r="AD167" s="174"/>
      <c r="AE167" s="174"/>
      <c r="AF167" s="174"/>
    </row>
    <row r="168" spans="3:32" x14ac:dyDescent="0.2">
      <c r="C168" s="212" t="s">
        <v>214</v>
      </c>
      <c r="D168" s="203" t="s">
        <v>215</v>
      </c>
      <c r="E168" s="113" t="s">
        <v>216</v>
      </c>
      <c r="F168" s="160">
        <v>4262.8</v>
      </c>
      <c r="G168" s="213"/>
      <c r="H168" s="160">
        <v>4262.8</v>
      </c>
      <c r="I168" s="205"/>
      <c r="J168" s="205"/>
      <c r="K168" s="205"/>
      <c r="L168" s="205"/>
      <c r="M168" s="205"/>
      <c r="N168" s="214">
        <v>5784.6</v>
      </c>
      <c r="O168" s="214"/>
      <c r="P168" s="214"/>
      <c r="Q168" s="214"/>
      <c r="R168" s="214"/>
      <c r="S168" s="214">
        <v>5784.6</v>
      </c>
      <c r="Y168" s="205">
        <v>5663.6750000000002</v>
      </c>
      <c r="Z168" s="205">
        <f>Y168*1.15</f>
        <v>6513.2262499999997</v>
      </c>
      <c r="AA168" s="205">
        <f t="shared" ref="AA168" si="153">Z168*1.15</f>
        <v>7490.2101874999989</v>
      </c>
      <c r="AB168" s="205">
        <f t="shared" ref="AB168" si="154">AA168*1.15</f>
        <v>8613.7417156249976</v>
      </c>
      <c r="AC168" s="205">
        <f>AB168*1.15</f>
        <v>9905.802972968746</v>
      </c>
      <c r="AD168" s="205">
        <f>AC168*1.15</f>
        <v>11391.673418914057</v>
      </c>
      <c r="AE168" s="205">
        <f>AD168*1.54</f>
        <v>17543.177065127649</v>
      </c>
      <c r="AF168" s="205">
        <f>AE168*1.28</f>
        <v>22455.266643363393</v>
      </c>
    </row>
    <row r="169" spans="3:32" ht="18" hidden="1" customHeight="1" x14ac:dyDescent="0.2">
      <c r="C169" s="29"/>
      <c r="D169" s="203" t="s">
        <v>217</v>
      </c>
      <c r="E169" s="113" t="s">
        <v>216</v>
      </c>
      <c r="F169" s="181"/>
      <c r="G169" s="215"/>
      <c r="H169" s="183"/>
      <c r="I169" s="215"/>
      <c r="J169" s="215"/>
      <c r="K169" s="215"/>
      <c r="L169" s="215"/>
      <c r="M169" s="215"/>
      <c r="N169" s="184"/>
      <c r="O169" s="184"/>
      <c r="P169" s="184"/>
      <c r="Q169" s="184"/>
      <c r="R169" s="184"/>
      <c r="S169" s="184"/>
      <c r="Y169" s="215"/>
      <c r="Z169" s="215"/>
      <c r="AA169" s="215"/>
      <c r="AB169" s="215"/>
      <c r="AC169" s="215"/>
      <c r="AD169" s="215"/>
      <c r="AE169" s="215"/>
      <c r="AF169" s="215"/>
    </row>
    <row r="170" spans="3:32" hidden="1" x14ac:dyDescent="0.2">
      <c r="C170" s="29"/>
      <c r="D170" s="203" t="s">
        <v>218</v>
      </c>
      <c r="E170" s="113" t="s">
        <v>216</v>
      </c>
      <c r="F170" s="181"/>
      <c r="G170" s="215"/>
      <c r="H170" s="183"/>
      <c r="I170" s="215"/>
      <c r="J170" s="215"/>
      <c r="K170" s="215"/>
      <c r="L170" s="215"/>
      <c r="M170" s="215"/>
      <c r="N170" s="184">
        <v>4021.5</v>
      </c>
      <c r="O170" s="184"/>
      <c r="P170" s="184"/>
      <c r="Q170" s="184"/>
      <c r="R170" s="184"/>
      <c r="S170" s="184">
        <v>5573.61</v>
      </c>
      <c r="Y170" s="215">
        <v>4684.62</v>
      </c>
      <c r="Z170" s="205">
        <f>Y170*1.15</f>
        <v>5387.3129999999992</v>
      </c>
      <c r="AA170" s="205">
        <f t="shared" ref="AA170:AB170" si="155">Z170*1.15</f>
        <v>6195.4099499999984</v>
      </c>
      <c r="AB170" s="205">
        <f t="shared" si="155"/>
        <v>7124.7214424999975</v>
      </c>
      <c r="AC170" s="205">
        <f>AB170*1.15</f>
        <v>8193.4296588749967</v>
      </c>
      <c r="AD170" s="205">
        <f>AC170*1.15</f>
        <v>9422.4441077062456</v>
      </c>
      <c r="AE170" s="205">
        <f>AD170*1.54</f>
        <v>14510.563925867618</v>
      </c>
      <c r="AF170" s="205">
        <f>AE170*1.28</f>
        <v>18573.521825110551</v>
      </c>
    </row>
    <row r="171" spans="3:32" hidden="1" x14ac:dyDescent="0.2">
      <c r="C171" s="29"/>
      <c r="D171" s="203" t="s">
        <v>219</v>
      </c>
      <c r="E171" s="113" t="s">
        <v>216</v>
      </c>
      <c r="F171" s="181"/>
      <c r="G171" s="215"/>
      <c r="H171" s="183"/>
      <c r="I171" s="215"/>
      <c r="J171" s="215"/>
      <c r="K171" s="215"/>
      <c r="L171" s="215"/>
      <c r="M171" s="215"/>
      <c r="N171" s="184"/>
      <c r="O171" s="184"/>
      <c r="P171" s="184"/>
      <c r="Q171" s="184"/>
      <c r="R171" s="184"/>
      <c r="S171" s="184"/>
      <c r="Y171" s="215"/>
      <c r="Z171" s="215"/>
      <c r="AA171" s="215"/>
      <c r="AB171" s="215"/>
      <c r="AC171" s="215"/>
      <c r="AD171" s="215"/>
      <c r="AE171" s="215"/>
      <c r="AF171" s="215"/>
    </row>
    <row r="172" spans="3:32" hidden="1" x14ac:dyDescent="0.2">
      <c r="C172" s="29"/>
      <c r="D172" s="203" t="s">
        <v>220</v>
      </c>
      <c r="E172" s="113" t="s">
        <v>216</v>
      </c>
      <c r="F172" s="181"/>
      <c r="G172" s="215"/>
      <c r="H172" s="183"/>
      <c r="I172" s="215"/>
      <c r="J172" s="215"/>
      <c r="K172" s="215"/>
      <c r="L172" s="215"/>
      <c r="M172" s="215"/>
      <c r="N172" s="184"/>
      <c r="O172" s="184"/>
      <c r="P172" s="184"/>
      <c r="Q172" s="184"/>
      <c r="R172" s="184"/>
      <c r="S172" s="184"/>
      <c r="Y172" s="215"/>
      <c r="Z172" s="215"/>
      <c r="AA172" s="215"/>
      <c r="AB172" s="215"/>
      <c r="AC172" s="215"/>
      <c r="AD172" s="215"/>
      <c r="AE172" s="215"/>
      <c r="AF172" s="215"/>
    </row>
    <row r="173" spans="3:32" ht="15" customHeight="1" x14ac:dyDescent="0.2">
      <c r="E173" s="163"/>
      <c r="F173" s="173"/>
      <c r="G173" s="174"/>
      <c r="H173" s="175"/>
      <c r="I173" s="174"/>
      <c r="J173" s="174"/>
      <c r="K173" s="174"/>
      <c r="L173" s="174"/>
      <c r="M173" s="174"/>
      <c r="N173" s="176"/>
      <c r="O173" s="176"/>
      <c r="P173" s="176"/>
      <c r="Q173" s="176"/>
      <c r="R173" s="176"/>
      <c r="S173" s="176"/>
      <c r="Y173" s="174"/>
      <c r="Z173" s="174"/>
      <c r="AA173" s="174"/>
      <c r="AB173" s="174"/>
      <c r="AC173" s="174"/>
      <c r="AD173" s="174"/>
      <c r="AE173" s="174"/>
      <c r="AF173" s="174"/>
    </row>
    <row r="174" spans="3:32" ht="18" customHeight="1" x14ac:dyDescent="0.2">
      <c r="C174" s="212" t="s">
        <v>221</v>
      </c>
      <c r="D174" s="203" t="s">
        <v>222</v>
      </c>
      <c r="E174" s="113" t="s">
        <v>223</v>
      </c>
      <c r="F174" s="123">
        <v>20.03</v>
      </c>
      <c r="G174" s="200"/>
      <c r="H174" s="146">
        <v>17.39</v>
      </c>
      <c r="I174" s="200"/>
      <c r="J174" s="200"/>
      <c r="K174" s="200"/>
      <c r="L174" s="200"/>
      <c r="M174" s="200"/>
      <c r="N174" s="59">
        <v>53.29</v>
      </c>
      <c r="O174" s="59">
        <v>20.87</v>
      </c>
      <c r="P174" s="59">
        <v>20.87</v>
      </c>
      <c r="Q174" s="59">
        <v>20.87</v>
      </c>
      <c r="R174" s="59">
        <v>20.87</v>
      </c>
      <c r="S174" s="59">
        <v>53.29</v>
      </c>
      <c r="T174" s="29"/>
      <c r="U174" s="29"/>
      <c r="V174" s="29"/>
      <c r="W174" s="29"/>
      <c r="X174" s="29"/>
      <c r="Y174" s="205">
        <v>55.954500000000003</v>
      </c>
      <c r="Z174" s="205">
        <v>40.5</v>
      </c>
      <c r="AA174" s="205">
        <f>Z174*1.12</f>
        <v>45.360000000000007</v>
      </c>
      <c r="AB174" s="205">
        <f t="shared" ref="AB174:AD174" si="156">AA174*1.098</f>
        <v>49.80528000000001</v>
      </c>
      <c r="AC174" s="205">
        <f t="shared" si="156"/>
        <v>54.686197440000015</v>
      </c>
      <c r="AD174" s="205">
        <f t="shared" si="156"/>
        <v>60.045444789120019</v>
      </c>
      <c r="AE174" s="205">
        <f>AD174*1.37</f>
        <v>82.262259361094436</v>
      </c>
      <c r="AF174" s="205">
        <f>AE174*1.19</f>
        <v>97.892088639702379</v>
      </c>
    </row>
    <row r="175" spans="3:32" x14ac:dyDescent="0.2">
      <c r="C175" s="58"/>
      <c r="D175" s="203" t="s">
        <v>224</v>
      </c>
      <c r="E175" s="113" t="s">
        <v>223</v>
      </c>
      <c r="F175" s="123"/>
      <c r="G175" s="200"/>
      <c r="H175" s="146"/>
      <c r="I175" s="200"/>
      <c r="J175" s="200"/>
      <c r="K175" s="200"/>
      <c r="L175" s="200"/>
      <c r="M175" s="200"/>
      <c r="N175" s="59"/>
      <c r="O175" s="59"/>
      <c r="P175" s="59"/>
      <c r="Q175" s="59"/>
      <c r="R175" s="59"/>
      <c r="S175" s="59"/>
      <c r="T175" s="29"/>
      <c r="U175" s="29"/>
      <c r="V175" s="29"/>
      <c r="W175" s="29"/>
      <c r="X175" s="29"/>
      <c r="Y175" s="200"/>
      <c r="Z175" s="205">
        <v>29.79</v>
      </c>
      <c r="AA175" s="205">
        <f>Z175*1.12</f>
        <v>33.364800000000002</v>
      </c>
      <c r="AB175" s="205">
        <f t="shared" ref="AB175" si="157">AA175*1.098</f>
        <v>36.634550400000009</v>
      </c>
      <c r="AC175" s="205">
        <f t="shared" ref="AC175" si="158">AB175*1.098</f>
        <v>40.224736339200014</v>
      </c>
      <c r="AD175" s="205">
        <f t="shared" ref="AD175" si="159">AC175*1.098</f>
        <v>44.166760500441619</v>
      </c>
      <c r="AE175" s="205">
        <f>AD175*1.37</f>
        <v>60.508461885605023</v>
      </c>
      <c r="AF175" s="205">
        <f>AE175*1.19</f>
        <v>72.005069643869973</v>
      </c>
    </row>
    <row r="176" spans="3:32" s="107" customFormat="1" ht="12.75" customHeight="1" x14ac:dyDescent="0.2">
      <c r="C176" s="216"/>
      <c r="D176" s="217"/>
      <c r="E176" s="218"/>
      <c r="F176" s="153"/>
      <c r="G176" s="219"/>
      <c r="H176" s="155"/>
      <c r="I176" s="219"/>
      <c r="J176" s="219"/>
      <c r="K176" s="219"/>
      <c r="L176" s="219"/>
      <c r="M176" s="219"/>
      <c r="N176" s="156"/>
      <c r="O176" s="156"/>
      <c r="P176" s="156"/>
      <c r="Q176" s="156"/>
      <c r="R176" s="156"/>
      <c r="S176" s="156"/>
      <c r="Y176" s="219"/>
      <c r="Z176" s="219"/>
      <c r="AA176" s="219"/>
      <c r="AB176" s="219"/>
      <c r="AC176" s="219"/>
      <c r="AD176" s="219"/>
      <c r="AE176" s="219"/>
      <c r="AF176" s="219"/>
    </row>
    <row r="177" spans="1:32" ht="18" customHeight="1" x14ac:dyDescent="0.2">
      <c r="C177" s="212" t="s">
        <v>225</v>
      </c>
      <c r="D177" s="203" t="s">
        <v>226</v>
      </c>
      <c r="E177" s="113" t="s">
        <v>227</v>
      </c>
      <c r="F177" s="123"/>
      <c r="G177" s="200"/>
      <c r="H177" s="146"/>
      <c r="I177" s="200"/>
      <c r="J177" s="200"/>
      <c r="K177" s="200"/>
      <c r="L177" s="200"/>
      <c r="M177" s="200"/>
      <c r="N177" s="59"/>
      <c r="O177" s="59"/>
      <c r="P177" s="59"/>
      <c r="Q177" s="59"/>
      <c r="R177" s="59"/>
      <c r="S177" s="59"/>
      <c r="Y177" s="200"/>
      <c r="Z177" s="200">
        <v>3.2</v>
      </c>
      <c r="AA177" s="205">
        <f>Z177*1.068</f>
        <v>3.4176000000000002</v>
      </c>
      <c r="AB177" s="205">
        <f t="shared" ref="AB177:AD178" si="160">AA177*1.054</f>
        <v>3.6021504000000002</v>
      </c>
      <c r="AC177" s="205">
        <f t="shared" si="160"/>
        <v>3.7966665216000002</v>
      </c>
      <c r="AD177" s="205">
        <f t="shared" si="160"/>
        <v>4.0016865137664004</v>
      </c>
      <c r="AE177" s="205">
        <f>AD177*1.21</f>
        <v>4.8420406816573447</v>
      </c>
      <c r="AF177" s="205">
        <f>AE177*1.14</f>
        <v>5.5199263770893721</v>
      </c>
    </row>
    <row r="178" spans="1:32" ht="18" customHeight="1" x14ac:dyDescent="0.2">
      <c r="C178" s="29"/>
      <c r="D178" s="203" t="s">
        <v>228</v>
      </c>
      <c r="E178" s="113" t="s">
        <v>227</v>
      </c>
      <c r="F178" s="181"/>
      <c r="G178" s="215"/>
      <c r="H178" s="183"/>
      <c r="I178" s="215"/>
      <c r="J178" s="215"/>
      <c r="K178" s="215"/>
      <c r="L178" s="215"/>
      <c r="M178" s="215"/>
      <c r="N178" s="184"/>
      <c r="O178" s="184"/>
      <c r="P178" s="184"/>
      <c r="Q178" s="184"/>
      <c r="R178" s="184"/>
      <c r="S178" s="184"/>
      <c r="Y178" s="215"/>
      <c r="Z178" s="215">
        <v>50</v>
      </c>
      <c r="AA178" s="205">
        <f>Z178*1.068</f>
        <v>53.400000000000006</v>
      </c>
      <c r="AB178" s="205">
        <f t="shared" si="160"/>
        <v>56.283600000000007</v>
      </c>
      <c r="AC178" s="205">
        <f t="shared" si="160"/>
        <v>59.322914400000009</v>
      </c>
      <c r="AD178" s="205">
        <f t="shared" si="160"/>
        <v>62.526351777600013</v>
      </c>
      <c r="AE178" s="205">
        <f>AD178*1.21</f>
        <v>75.656885650896015</v>
      </c>
      <c r="AF178" s="205">
        <f>AE178*1.14</f>
        <v>86.248849642021455</v>
      </c>
    </row>
    <row r="179" spans="1:32" ht="18" hidden="1" customHeight="1" x14ac:dyDescent="0.2">
      <c r="C179" s="206"/>
      <c r="D179" s="207" t="s">
        <v>212</v>
      </c>
      <c r="E179" s="220"/>
      <c r="F179" s="187"/>
      <c r="G179" s="221"/>
      <c r="H179" s="189"/>
      <c r="I179" s="221"/>
      <c r="J179" s="221"/>
      <c r="K179" s="221"/>
      <c r="L179" s="221"/>
      <c r="M179" s="221"/>
      <c r="N179" s="190"/>
      <c r="O179" s="190"/>
      <c r="P179" s="190"/>
      <c r="Q179" s="190"/>
      <c r="R179" s="190"/>
      <c r="S179" s="190"/>
      <c r="Y179" s="221"/>
      <c r="Z179" s="221"/>
      <c r="AA179" s="221"/>
      <c r="AB179" s="221"/>
      <c r="AC179" s="221"/>
      <c r="AD179" s="221"/>
      <c r="AE179" s="221"/>
      <c r="AF179" s="221"/>
    </row>
    <row r="180" spans="1:32" x14ac:dyDescent="0.2">
      <c r="C180" s="216"/>
      <c r="D180" s="217"/>
      <c r="E180" s="218"/>
      <c r="F180" s="153"/>
      <c r="G180" s="219"/>
      <c r="H180" s="155"/>
      <c r="I180" s="219"/>
      <c r="J180" s="219"/>
      <c r="K180" s="219"/>
      <c r="L180" s="219"/>
      <c r="M180" s="219"/>
      <c r="N180" s="156"/>
      <c r="O180" s="156"/>
      <c r="P180" s="156"/>
      <c r="Q180" s="156"/>
      <c r="R180" s="156"/>
      <c r="S180" s="156"/>
      <c r="Y180" s="219"/>
      <c r="Z180" s="219"/>
      <c r="AA180" s="219"/>
      <c r="AB180" s="219"/>
      <c r="AC180" s="219"/>
      <c r="AD180" s="219"/>
      <c r="AE180" s="219"/>
      <c r="AF180" s="219"/>
    </row>
    <row r="181" spans="1:32" x14ac:dyDescent="0.2">
      <c r="E181" s="163"/>
      <c r="F181" s="173"/>
      <c r="G181" s="174"/>
      <c r="H181" s="175"/>
      <c r="I181" s="174"/>
      <c r="J181" s="174"/>
      <c r="K181" s="174"/>
      <c r="L181" s="174"/>
      <c r="M181" s="174"/>
      <c r="N181" s="176"/>
      <c r="O181" s="176"/>
      <c r="P181" s="176"/>
      <c r="Q181" s="176"/>
      <c r="R181" s="176"/>
      <c r="S181" s="176"/>
      <c r="Y181" s="174"/>
      <c r="Z181" s="174"/>
      <c r="AA181" s="174"/>
      <c r="AB181" s="174"/>
      <c r="AC181" s="174"/>
      <c r="AD181" s="174"/>
      <c r="AE181" s="174"/>
      <c r="AF181" s="174"/>
    </row>
    <row r="182" spans="1:32" ht="30" x14ac:dyDescent="0.2">
      <c r="C182" s="108" t="str">
        <f>C43</f>
        <v>7</v>
      </c>
      <c r="D182" s="222" t="str">
        <f>D43</f>
        <v>Расходы на содержание и эксплуатацию оборудования</v>
      </c>
      <c r="E182" s="110" t="str">
        <f>E43</f>
        <v>тыс.руб.</v>
      </c>
      <c r="F182" s="223">
        <f>F43</f>
        <v>50</v>
      </c>
      <c r="G182" s="224"/>
      <c r="H182" s="111">
        <f>H43</f>
        <v>61.1</v>
      </c>
      <c r="I182" s="224"/>
      <c r="J182" s="225"/>
      <c r="K182" s="225"/>
      <c r="L182" s="225"/>
      <c r="M182" s="224"/>
      <c r="N182" s="111">
        <f>N43</f>
        <v>212.584</v>
      </c>
      <c r="O182" s="111">
        <f t="shared" ref="O182:S182" si="161">O43</f>
        <v>60</v>
      </c>
      <c r="P182" s="111">
        <f t="shared" si="161"/>
        <v>60</v>
      </c>
      <c r="Q182" s="111">
        <f t="shared" si="161"/>
        <v>60</v>
      </c>
      <c r="R182" s="111">
        <f t="shared" si="161"/>
        <v>60</v>
      </c>
      <c r="S182" s="111">
        <f t="shared" si="161"/>
        <v>212.584</v>
      </c>
      <c r="Y182" s="111">
        <f>Y43</f>
        <v>137.02500000000001</v>
      </c>
      <c r="Z182" s="111">
        <f t="shared" ref="Z182:AF182" si="162">Z43</f>
        <v>146.34270000000001</v>
      </c>
      <c r="AA182" s="111">
        <f t="shared" si="162"/>
        <v>156.29400360000002</v>
      </c>
      <c r="AB182" s="111">
        <f t="shared" si="162"/>
        <v>166.92199584480002</v>
      </c>
      <c r="AC182" s="111">
        <f t="shared" si="162"/>
        <v>178.27269156224642</v>
      </c>
      <c r="AD182" s="111">
        <f t="shared" si="162"/>
        <v>190.39523458847918</v>
      </c>
      <c r="AE182" s="111">
        <f t="shared" si="162"/>
        <v>230.37823385205979</v>
      </c>
      <c r="AF182" s="111">
        <f t="shared" si="162"/>
        <v>262.63118659134813</v>
      </c>
    </row>
    <row r="183" spans="1:32" hidden="1" x14ac:dyDescent="0.2">
      <c r="C183" s="22" t="s">
        <v>229</v>
      </c>
      <c r="D183" s="203" t="s">
        <v>230</v>
      </c>
      <c r="E183" s="113" t="s">
        <v>76</v>
      </c>
      <c r="F183" s="123"/>
      <c r="G183" s="200"/>
      <c r="H183" s="146"/>
      <c r="I183" s="200"/>
      <c r="J183" s="200"/>
      <c r="K183" s="200"/>
      <c r="L183" s="200"/>
      <c r="M183" s="200"/>
      <c r="N183" s="59"/>
      <c r="O183" s="59"/>
      <c r="P183" s="59"/>
      <c r="Q183" s="59"/>
      <c r="R183" s="59"/>
      <c r="S183" s="59"/>
      <c r="Y183" s="200"/>
      <c r="Z183" s="200"/>
      <c r="AA183" s="200"/>
      <c r="AB183" s="200"/>
      <c r="AC183" s="200"/>
      <c r="AD183" s="200"/>
      <c r="AE183" s="200"/>
      <c r="AF183" s="200"/>
    </row>
    <row r="184" spans="1:32" hidden="1" x14ac:dyDescent="0.2">
      <c r="C184" s="226" t="s">
        <v>231</v>
      </c>
      <c r="D184" s="203" t="s">
        <v>232</v>
      </c>
      <c r="E184" s="113" t="s">
        <v>76</v>
      </c>
      <c r="F184" s="123"/>
      <c r="G184" s="200"/>
      <c r="H184" s="146"/>
      <c r="I184" s="200"/>
      <c r="J184" s="200"/>
      <c r="K184" s="200"/>
      <c r="L184" s="200"/>
      <c r="M184" s="200"/>
      <c r="N184" s="59"/>
      <c r="O184" s="59"/>
      <c r="P184" s="59"/>
      <c r="Q184" s="59"/>
      <c r="R184" s="59"/>
      <c r="S184" s="59"/>
      <c r="Y184" s="200"/>
      <c r="Z184" s="200"/>
      <c r="AA184" s="200"/>
      <c r="AB184" s="200"/>
      <c r="AC184" s="200"/>
      <c r="AD184" s="200"/>
      <c r="AE184" s="200"/>
      <c r="AF184" s="200"/>
    </row>
    <row r="185" spans="1:32" hidden="1" x14ac:dyDescent="0.2">
      <c r="C185" s="226"/>
      <c r="D185" s="203" t="s">
        <v>233</v>
      </c>
      <c r="E185" s="113" t="s">
        <v>234</v>
      </c>
      <c r="F185" s="123"/>
      <c r="G185" s="200"/>
      <c r="H185" s="146"/>
      <c r="I185" s="200"/>
      <c r="J185" s="200"/>
      <c r="K185" s="200"/>
      <c r="L185" s="200"/>
      <c r="M185" s="200"/>
      <c r="N185" s="59"/>
      <c r="O185" s="59"/>
      <c r="P185" s="59"/>
      <c r="Q185" s="59"/>
      <c r="R185" s="59"/>
      <c r="S185" s="59"/>
      <c r="Y185" s="200"/>
      <c r="Z185" s="200"/>
      <c r="AA185" s="200"/>
      <c r="AB185" s="200"/>
      <c r="AC185" s="200"/>
      <c r="AD185" s="200"/>
      <c r="AE185" s="200"/>
      <c r="AF185" s="200"/>
    </row>
    <row r="186" spans="1:32" hidden="1" x14ac:dyDescent="0.2">
      <c r="A186" s="1"/>
      <c r="C186" s="22"/>
      <c r="D186" s="203" t="s">
        <v>235</v>
      </c>
      <c r="E186" s="113" t="s">
        <v>236</v>
      </c>
      <c r="F186" s="227" t="str">
        <f>IF(F185&lt;&gt;0,F184/12/F185*1000,"-")</f>
        <v>-</v>
      </c>
      <c r="G186" s="227"/>
      <c r="H186" s="227" t="str">
        <f>IF(H185&lt;&gt;0,H184/12/H185*1000,"-")</f>
        <v>-</v>
      </c>
      <c r="I186" s="227"/>
      <c r="J186" s="227"/>
      <c r="K186" s="227"/>
      <c r="L186" s="227"/>
      <c r="M186" s="227"/>
      <c r="N186" s="227" t="str">
        <f>IF(N185&lt;&gt;0,N184/12/N185*1000,"-")</f>
        <v>-</v>
      </c>
      <c r="O186" s="227" t="str">
        <f t="shared" ref="O186:S186" si="163">IF(O185&lt;&gt;0,O184/12/O185*1000,"-")</f>
        <v>-</v>
      </c>
      <c r="P186" s="227" t="str">
        <f t="shared" si="163"/>
        <v>-</v>
      </c>
      <c r="Q186" s="227" t="str">
        <f t="shared" si="163"/>
        <v>-</v>
      </c>
      <c r="R186" s="227" t="str">
        <f t="shared" si="163"/>
        <v>-</v>
      </c>
      <c r="S186" s="227" t="str">
        <f t="shared" si="163"/>
        <v>-</v>
      </c>
      <c r="Y186" s="227" t="str">
        <f>IF(Y185&lt;&gt;0,Y184/12/Y185*1000,"-")</f>
        <v>-</v>
      </c>
      <c r="Z186" s="227" t="str">
        <f t="shared" ref="Z186:AF186" si="164">IF(Z185&lt;&gt;0,Z184/12/Z185*1000,"-")</f>
        <v>-</v>
      </c>
      <c r="AA186" s="227" t="str">
        <f t="shared" si="164"/>
        <v>-</v>
      </c>
      <c r="AB186" s="227" t="str">
        <f t="shared" si="164"/>
        <v>-</v>
      </c>
      <c r="AC186" s="227" t="str">
        <f t="shared" si="164"/>
        <v>-</v>
      </c>
      <c r="AD186" s="227" t="str">
        <f t="shared" si="164"/>
        <v>-</v>
      </c>
      <c r="AE186" s="227" t="str">
        <f t="shared" si="164"/>
        <v>-</v>
      </c>
      <c r="AF186" s="227" t="str">
        <f t="shared" si="164"/>
        <v>-</v>
      </c>
    </row>
    <row r="187" spans="1:32" hidden="1" x14ac:dyDescent="0.2">
      <c r="C187" s="22" t="s">
        <v>237</v>
      </c>
      <c r="D187" s="50" t="s">
        <v>238</v>
      </c>
      <c r="E187" s="113" t="s">
        <v>76</v>
      </c>
      <c r="F187" s="228"/>
      <c r="G187" s="229"/>
      <c r="H187" s="230"/>
      <c r="I187" s="229"/>
      <c r="J187" s="229"/>
      <c r="K187" s="229"/>
      <c r="L187" s="229"/>
      <c r="M187" s="229"/>
      <c r="N187" s="231"/>
      <c r="O187" s="231"/>
      <c r="P187" s="231"/>
      <c r="Q187" s="231"/>
      <c r="R187" s="231"/>
      <c r="S187" s="231"/>
      <c r="Y187" s="229"/>
      <c r="Z187" s="229"/>
      <c r="AA187" s="229"/>
      <c r="AB187" s="229"/>
      <c r="AC187" s="229"/>
      <c r="AD187" s="229"/>
      <c r="AE187" s="229"/>
      <c r="AF187" s="229"/>
    </row>
    <row r="188" spans="1:32" x14ac:dyDescent="0.2">
      <c r="C188" s="22" t="s">
        <v>239</v>
      </c>
      <c r="D188" s="203" t="s">
        <v>240</v>
      </c>
      <c r="E188" s="113" t="s">
        <v>76</v>
      </c>
      <c r="F188" s="124">
        <f>F182-F183-F184-F187</f>
        <v>50</v>
      </c>
      <c r="G188" s="124">
        <f t="shared" ref="G188:N188" si="165">G182-G183-G184-G187</f>
        <v>0</v>
      </c>
      <c r="H188" s="124">
        <f t="shared" si="165"/>
        <v>61.1</v>
      </c>
      <c r="I188" s="124">
        <f t="shared" si="165"/>
        <v>0</v>
      </c>
      <c r="J188" s="124">
        <f t="shared" si="165"/>
        <v>0</v>
      </c>
      <c r="K188" s="124">
        <f t="shared" si="165"/>
        <v>0</v>
      </c>
      <c r="L188" s="124">
        <f t="shared" si="165"/>
        <v>0</v>
      </c>
      <c r="M188" s="124">
        <f t="shared" si="165"/>
        <v>0</v>
      </c>
      <c r="N188" s="124">
        <f t="shared" si="165"/>
        <v>212.584</v>
      </c>
      <c r="O188" s="124">
        <f t="shared" ref="O188:S188" si="166">O182-O183-O184-O187</f>
        <v>60</v>
      </c>
      <c r="P188" s="124">
        <f t="shared" si="166"/>
        <v>60</v>
      </c>
      <c r="Q188" s="124">
        <f t="shared" si="166"/>
        <v>60</v>
      </c>
      <c r="R188" s="124">
        <f t="shared" si="166"/>
        <v>60</v>
      </c>
      <c r="S188" s="124">
        <f t="shared" si="166"/>
        <v>212.584</v>
      </c>
      <c r="Y188" s="124">
        <f t="shared" ref="Y188:AF188" si="167">Y182-Y183-Y184-Y187</f>
        <v>137.02500000000001</v>
      </c>
      <c r="Z188" s="124">
        <f t="shared" si="167"/>
        <v>146.34270000000001</v>
      </c>
      <c r="AA188" s="124">
        <f t="shared" si="167"/>
        <v>156.29400360000002</v>
      </c>
      <c r="AB188" s="124">
        <f t="shared" si="167"/>
        <v>166.92199584480002</v>
      </c>
      <c r="AC188" s="124">
        <f t="shared" si="167"/>
        <v>178.27269156224642</v>
      </c>
      <c r="AD188" s="124">
        <f t="shared" si="167"/>
        <v>190.39523458847918</v>
      </c>
      <c r="AE188" s="124">
        <f t="shared" si="167"/>
        <v>230.37823385205979</v>
      </c>
      <c r="AF188" s="124">
        <f t="shared" si="167"/>
        <v>262.63118659134813</v>
      </c>
    </row>
    <row r="189" spans="1:32" x14ac:dyDescent="0.2">
      <c r="C189" s="216"/>
      <c r="D189" s="217"/>
      <c r="E189" s="218"/>
      <c r="F189" s="153"/>
      <c r="G189" s="219"/>
      <c r="H189" s="155"/>
      <c r="I189" s="219"/>
      <c r="J189" s="219"/>
      <c r="K189" s="219"/>
      <c r="L189" s="219"/>
      <c r="M189" s="219"/>
      <c r="N189" s="156"/>
      <c r="O189" s="156"/>
      <c r="P189" s="156"/>
      <c r="Q189" s="156"/>
      <c r="R189" s="156"/>
      <c r="S189" s="156"/>
      <c r="Y189" s="219"/>
      <c r="Z189" s="219"/>
      <c r="AA189" s="219"/>
      <c r="AB189" s="219"/>
      <c r="AC189" s="219"/>
      <c r="AD189" s="219"/>
      <c r="AE189" s="219"/>
      <c r="AF189" s="219"/>
    </row>
    <row r="190" spans="1:32" ht="18" customHeight="1" x14ac:dyDescent="0.2">
      <c r="C190" s="108" t="str">
        <f>C44</f>
        <v>8</v>
      </c>
      <c r="D190" s="232" t="str">
        <f>D44</f>
        <v>Оплата труда производственных рабочих</v>
      </c>
      <c r="E190" s="110" t="str">
        <f>E51</f>
        <v>тыс.руб.</v>
      </c>
      <c r="F190" s="223">
        <f>F44</f>
        <v>364.7</v>
      </c>
      <c r="G190" s="223"/>
      <c r="H190" s="223">
        <f>H44</f>
        <v>364.7</v>
      </c>
      <c r="I190" s="223"/>
      <c r="J190" s="223"/>
      <c r="K190" s="223"/>
      <c r="L190" s="223"/>
      <c r="M190" s="223"/>
      <c r="N190" s="223">
        <f>N44</f>
        <v>637.98599999999999</v>
      </c>
      <c r="O190" s="223">
        <f t="shared" ref="O190:S190" si="168">O44</f>
        <v>760.8</v>
      </c>
      <c r="P190" s="223">
        <f t="shared" si="168"/>
        <v>454.5</v>
      </c>
      <c r="Q190" s="223">
        <f t="shared" si="168"/>
        <v>482.2</v>
      </c>
      <c r="R190" s="223">
        <f t="shared" si="168"/>
        <v>530.42000000000007</v>
      </c>
      <c r="S190" s="223">
        <f t="shared" si="168"/>
        <v>637.98599999999999</v>
      </c>
      <c r="Y190" s="223">
        <f>Y44</f>
        <v>657.76356600000008</v>
      </c>
      <c r="Z190" s="223">
        <f t="shared" ref="Z190:AF190" si="169">Z44</f>
        <v>702.49148848800007</v>
      </c>
      <c r="AA190" s="223">
        <f t="shared" si="169"/>
        <v>750.26090970518408</v>
      </c>
      <c r="AB190" s="223">
        <f t="shared" si="169"/>
        <v>801.27865156513667</v>
      </c>
      <c r="AC190" s="223">
        <f t="shared" si="169"/>
        <v>855.765599871566</v>
      </c>
      <c r="AD190" s="223">
        <f t="shared" si="169"/>
        <v>913.9576606628325</v>
      </c>
      <c r="AE190" s="223">
        <f t="shared" si="169"/>
        <v>1105.8887694020273</v>
      </c>
      <c r="AF190" s="223">
        <f t="shared" si="169"/>
        <v>1260.713197118311</v>
      </c>
    </row>
    <row r="191" spans="1:32" ht="30" x14ac:dyDescent="0.2">
      <c r="C191" s="20"/>
      <c r="D191" s="203" t="s">
        <v>241</v>
      </c>
      <c r="E191" s="113" t="s">
        <v>234</v>
      </c>
      <c r="F191" s="123">
        <v>7</v>
      </c>
      <c r="G191" s="200"/>
      <c r="H191" s="146">
        <v>7</v>
      </c>
      <c r="I191" s="200"/>
      <c r="J191" s="200"/>
      <c r="K191" s="200"/>
      <c r="L191" s="200"/>
      <c r="M191" s="200"/>
      <c r="N191" s="59">
        <v>4.3</v>
      </c>
      <c r="O191" s="59">
        <v>8</v>
      </c>
      <c r="P191" s="59">
        <v>9</v>
      </c>
      <c r="Q191" s="59">
        <v>10</v>
      </c>
      <c r="R191" s="59">
        <v>11</v>
      </c>
      <c r="S191" s="59">
        <v>4.3</v>
      </c>
      <c r="Y191" s="200">
        <v>4.3</v>
      </c>
      <c r="Z191" s="200">
        <f>Y191</f>
        <v>4.3</v>
      </c>
      <c r="AA191" s="200">
        <f>Z191</f>
        <v>4.3</v>
      </c>
      <c r="AB191" s="200">
        <f>Z191</f>
        <v>4.3</v>
      </c>
      <c r="AC191" s="200">
        <f>Z191</f>
        <v>4.3</v>
      </c>
      <c r="AD191" s="200">
        <f>Z191</f>
        <v>4.3</v>
      </c>
      <c r="AE191" s="200">
        <f>Z191</f>
        <v>4.3</v>
      </c>
      <c r="AF191" s="200">
        <f>Z191</f>
        <v>4.3</v>
      </c>
    </row>
    <row r="192" spans="1:32" ht="21" customHeight="1" x14ac:dyDescent="0.2">
      <c r="A192" s="1" t="s">
        <v>242</v>
      </c>
      <c r="C192" s="58"/>
      <c r="D192" s="203" t="s">
        <v>243</v>
      </c>
      <c r="E192" s="113" t="s">
        <v>236</v>
      </c>
      <c r="F192" s="124">
        <f>IF(F191&lt;&gt;0,F190/12/F191*1000,"-")</f>
        <v>4341.666666666667</v>
      </c>
      <c r="G192" s="124"/>
      <c r="H192" s="124">
        <f>IF(H191&lt;&gt;0,H190/12/H191*1000,"-")</f>
        <v>4341.666666666667</v>
      </c>
      <c r="I192" s="124"/>
      <c r="J192" s="124"/>
      <c r="K192" s="124"/>
      <c r="L192" s="124"/>
      <c r="M192" s="124"/>
      <c r="N192" s="124">
        <f>IF(N191&lt;&gt;0,N190/12/N191*1000,"-")</f>
        <v>12364.069767441862</v>
      </c>
      <c r="O192" s="124">
        <f t="shared" ref="O192:S192" si="170">IF(O191&lt;&gt;0,O190/12/O191*1000,"-")</f>
        <v>7925</v>
      </c>
      <c r="P192" s="124">
        <f t="shared" si="170"/>
        <v>4208.333333333333</v>
      </c>
      <c r="Q192" s="124">
        <f t="shared" si="170"/>
        <v>4018.3333333333326</v>
      </c>
      <c r="R192" s="124">
        <f t="shared" si="170"/>
        <v>4018.3333333333344</v>
      </c>
      <c r="S192" s="124">
        <f t="shared" si="170"/>
        <v>12364.069767441862</v>
      </c>
      <c r="Y192" s="124">
        <f>IF(Y191&lt;&gt;0,Y190/12/Y191*1000,"-")</f>
        <v>12747.355930232559</v>
      </c>
      <c r="Z192" s="124">
        <f t="shared" ref="Z192:AF192" si="171">IF(Z191&lt;&gt;0,Z190/12/Z191*1000,"-")</f>
        <v>13614.176133488374</v>
      </c>
      <c r="AA192" s="124">
        <f t="shared" si="171"/>
        <v>14539.940110565583</v>
      </c>
      <c r="AB192" s="124">
        <f t="shared" si="171"/>
        <v>15528.656038084044</v>
      </c>
      <c r="AC192" s="124">
        <f t="shared" si="171"/>
        <v>16584.604648673761</v>
      </c>
      <c r="AD192" s="124">
        <f t="shared" si="171"/>
        <v>17712.357764783577</v>
      </c>
      <c r="AE192" s="124">
        <f t="shared" si="171"/>
        <v>21431.952895388127</v>
      </c>
      <c r="AF192" s="124">
        <f t="shared" si="171"/>
        <v>24432.426300742463</v>
      </c>
    </row>
    <row r="193" spans="1:32" x14ac:dyDescent="0.2">
      <c r="E193" s="163"/>
      <c r="F193" s="173"/>
      <c r="G193" s="174"/>
      <c r="H193" s="175"/>
      <c r="I193" s="174"/>
      <c r="J193" s="174"/>
      <c r="K193" s="174"/>
      <c r="L193" s="174"/>
      <c r="M193" s="174"/>
      <c r="N193" s="176"/>
      <c r="O193" s="176"/>
      <c r="P193" s="176"/>
      <c r="Q193" s="176"/>
      <c r="R193" s="176"/>
      <c r="S193" s="176"/>
      <c r="Y193" s="174"/>
      <c r="Z193" s="174"/>
      <c r="AA193" s="174"/>
      <c r="AB193" s="174"/>
      <c r="AC193" s="174"/>
      <c r="AD193" s="174"/>
      <c r="AE193" s="174"/>
      <c r="AF193" s="174"/>
    </row>
    <row r="194" spans="1:32" s="233" customFormat="1" x14ac:dyDescent="0.2">
      <c r="C194" s="108" t="str">
        <f>C46</f>
        <v>10</v>
      </c>
      <c r="D194" s="109" t="str">
        <f>D46</f>
        <v>Цеховые расходы</v>
      </c>
      <c r="E194" s="110" t="str">
        <f>E46</f>
        <v>тыс.руб.</v>
      </c>
      <c r="F194" s="223">
        <f>F46</f>
        <v>2.2000000000000002</v>
      </c>
      <c r="G194" s="224"/>
      <c r="H194" s="111">
        <f>H46</f>
        <v>2.2000000000000002</v>
      </c>
      <c r="I194" s="224"/>
      <c r="J194" s="225"/>
      <c r="K194" s="225"/>
      <c r="L194" s="225"/>
      <c r="M194" s="224"/>
      <c r="N194" s="111">
        <f>N46</f>
        <v>49.040999999999997</v>
      </c>
      <c r="O194" s="111">
        <f t="shared" ref="O194:S194" si="172">O46</f>
        <v>76.099999999999994</v>
      </c>
      <c r="P194" s="111">
        <f t="shared" si="172"/>
        <v>76.099999999999994</v>
      </c>
      <c r="Q194" s="111">
        <f t="shared" si="172"/>
        <v>76.099999999999994</v>
      </c>
      <c r="R194" s="111">
        <f t="shared" si="172"/>
        <v>76.099999999999994</v>
      </c>
      <c r="S194" s="111">
        <f t="shared" si="172"/>
        <v>49.040999999999997</v>
      </c>
      <c r="Y194" s="111">
        <f>Y46</f>
        <v>50.144422499999997</v>
      </c>
      <c r="Z194" s="111">
        <f t="shared" ref="Z194:AF194" si="173">Z46</f>
        <v>53.554243229999997</v>
      </c>
      <c r="AA194" s="111">
        <f t="shared" si="173"/>
        <v>57.195931769639998</v>
      </c>
      <c r="AB194" s="111">
        <f t="shared" si="173"/>
        <v>61.085255129975522</v>
      </c>
      <c r="AC194" s="111">
        <f t="shared" si="173"/>
        <v>65.239052478813861</v>
      </c>
      <c r="AD194" s="111">
        <f t="shared" si="173"/>
        <v>69.675308047373207</v>
      </c>
      <c r="AE194" s="111">
        <f t="shared" si="173"/>
        <v>84.307122737321578</v>
      </c>
      <c r="AF194" s="111">
        <f t="shared" si="173"/>
        <v>96.110119920546595</v>
      </c>
    </row>
    <row r="195" spans="1:32" ht="18" hidden="1" customHeight="1" x14ac:dyDescent="0.2">
      <c r="C195" s="22" t="s">
        <v>244</v>
      </c>
      <c r="D195" s="203" t="s">
        <v>245</v>
      </c>
      <c r="E195" s="113" t="s">
        <v>76</v>
      </c>
      <c r="F195" s="123"/>
      <c r="G195" s="200"/>
      <c r="H195" s="146"/>
      <c r="I195" s="200"/>
      <c r="J195" s="200"/>
      <c r="K195" s="200"/>
      <c r="L195" s="200"/>
      <c r="M195" s="200"/>
      <c r="N195" s="59"/>
      <c r="O195" s="59"/>
      <c r="P195" s="59"/>
      <c r="Q195" s="59"/>
      <c r="R195" s="59"/>
      <c r="S195" s="59"/>
      <c r="Y195" s="200"/>
      <c r="Z195" s="200"/>
      <c r="AA195" s="200"/>
      <c r="AB195" s="200"/>
      <c r="AC195" s="200"/>
      <c r="AD195" s="200"/>
      <c r="AE195" s="200"/>
      <c r="AF195" s="200"/>
    </row>
    <row r="196" spans="1:32" ht="30" hidden="1" x14ac:dyDescent="0.2">
      <c r="C196" s="22"/>
      <c r="D196" s="203" t="s">
        <v>246</v>
      </c>
      <c r="E196" s="113" t="s">
        <v>234</v>
      </c>
      <c r="F196" s="123"/>
      <c r="G196" s="200"/>
      <c r="H196" s="146"/>
      <c r="I196" s="200"/>
      <c r="J196" s="200"/>
      <c r="K196" s="200"/>
      <c r="L196" s="200"/>
      <c r="M196" s="200"/>
      <c r="N196" s="59"/>
      <c r="O196" s="59"/>
      <c r="P196" s="59"/>
      <c r="Q196" s="59"/>
      <c r="R196" s="59"/>
      <c r="S196" s="59"/>
      <c r="Y196" s="200"/>
      <c r="Z196" s="200"/>
      <c r="AA196" s="200"/>
      <c r="AB196" s="200"/>
      <c r="AC196" s="200"/>
      <c r="AD196" s="200"/>
      <c r="AE196" s="200"/>
      <c r="AF196" s="200"/>
    </row>
    <row r="197" spans="1:32" hidden="1" x14ac:dyDescent="0.2">
      <c r="A197" s="1" t="s">
        <v>242</v>
      </c>
      <c r="C197" s="22"/>
      <c r="D197" s="203" t="s">
        <v>247</v>
      </c>
      <c r="E197" s="113" t="s">
        <v>236</v>
      </c>
      <c r="F197" s="227" t="str">
        <f>IF(F196&lt;&gt;0,F195/12/F196*1000,"-")</f>
        <v>-</v>
      </c>
      <c r="G197" s="227"/>
      <c r="H197" s="227" t="str">
        <f>IF(H196&lt;&gt;0,H195/12/H196*1000,"-")</f>
        <v>-</v>
      </c>
      <c r="I197" s="227"/>
      <c r="J197" s="227"/>
      <c r="K197" s="227"/>
      <c r="L197" s="227"/>
      <c r="M197" s="227"/>
      <c r="N197" s="227" t="str">
        <f>IF(N196&lt;&gt;0,N195/12/N196*1000,"-")</f>
        <v>-</v>
      </c>
      <c r="O197" s="227" t="str">
        <f t="shared" ref="O197:S197" si="174">IF(O196&lt;&gt;0,O195/12/O196*1000,"-")</f>
        <v>-</v>
      </c>
      <c r="P197" s="227" t="str">
        <f t="shared" si="174"/>
        <v>-</v>
      </c>
      <c r="Q197" s="227" t="str">
        <f t="shared" si="174"/>
        <v>-</v>
      </c>
      <c r="R197" s="227" t="str">
        <f t="shared" si="174"/>
        <v>-</v>
      </c>
      <c r="S197" s="227" t="str">
        <f t="shared" si="174"/>
        <v>-</v>
      </c>
      <c r="Y197" s="227" t="str">
        <f>IF(Y196&lt;&gt;0,Y195/12/Y196*1000,"-")</f>
        <v>-</v>
      </c>
      <c r="Z197" s="227" t="str">
        <f t="shared" ref="Z197:AF197" si="175">IF(Z196&lt;&gt;0,Z195/12/Z196*1000,"-")</f>
        <v>-</v>
      </c>
      <c r="AA197" s="227" t="str">
        <f t="shared" si="175"/>
        <v>-</v>
      </c>
      <c r="AB197" s="227" t="str">
        <f t="shared" si="175"/>
        <v>-</v>
      </c>
      <c r="AC197" s="227" t="str">
        <f t="shared" si="175"/>
        <v>-</v>
      </c>
      <c r="AD197" s="227" t="str">
        <f t="shared" si="175"/>
        <v>-</v>
      </c>
      <c r="AE197" s="227" t="str">
        <f t="shared" si="175"/>
        <v>-</v>
      </c>
      <c r="AF197" s="227" t="str">
        <f t="shared" si="175"/>
        <v>-</v>
      </c>
    </row>
    <row r="198" spans="1:32" hidden="1" x14ac:dyDescent="0.2">
      <c r="C198" s="226" t="s">
        <v>248</v>
      </c>
      <c r="D198" s="50" t="s">
        <v>249</v>
      </c>
      <c r="E198" s="113" t="s">
        <v>76</v>
      </c>
      <c r="F198" s="123"/>
      <c r="G198" s="200"/>
      <c r="H198" s="146"/>
      <c r="I198" s="200"/>
      <c r="J198" s="200"/>
      <c r="K198" s="200"/>
      <c r="L198" s="200"/>
      <c r="M198" s="200"/>
      <c r="N198" s="59"/>
      <c r="O198" s="59"/>
      <c r="P198" s="59"/>
      <c r="Q198" s="59"/>
      <c r="R198" s="59"/>
      <c r="S198" s="59"/>
      <c r="Y198" s="200"/>
      <c r="Z198" s="200"/>
      <c r="AA198" s="200"/>
      <c r="AB198" s="200"/>
      <c r="AC198" s="200"/>
      <c r="AD198" s="200"/>
      <c r="AE198" s="200"/>
      <c r="AF198" s="200"/>
    </row>
    <row r="199" spans="1:32" x14ac:dyDescent="0.2">
      <c r="E199" s="163"/>
      <c r="F199" s="173"/>
      <c r="G199" s="174"/>
      <c r="H199" s="175"/>
      <c r="I199" s="174"/>
      <c r="J199" s="174"/>
      <c r="K199" s="174"/>
      <c r="L199" s="174"/>
      <c r="M199" s="174"/>
      <c r="N199" s="176"/>
      <c r="O199" s="176"/>
      <c r="P199" s="176"/>
      <c r="Q199" s="176"/>
      <c r="R199" s="176"/>
      <c r="S199" s="176"/>
      <c r="Y199" s="174"/>
      <c r="Z199" s="174"/>
      <c r="AA199" s="174"/>
      <c r="AB199" s="174"/>
      <c r="AC199" s="174"/>
      <c r="AD199" s="174"/>
      <c r="AE199" s="174"/>
      <c r="AF199" s="174"/>
    </row>
    <row r="200" spans="1:32" ht="24" hidden="1" customHeight="1" x14ac:dyDescent="0.2">
      <c r="C200" s="108" t="str">
        <f>C48</f>
        <v>12</v>
      </c>
      <c r="D200" s="109" t="s">
        <v>280</v>
      </c>
      <c r="E200" s="110" t="str">
        <f>E48</f>
        <v>тыс.руб.</v>
      </c>
      <c r="F200" s="234">
        <f>F201+F204</f>
        <v>0</v>
      </c>
      <c r="G200" s="234"/>
      <c r="H200" s="234">
        <f>H201+H204</f>
        <v>0</v>
      </c>
      <c r="I200" s="234"/>
      <c r="J200" s="234"/>
      <c r="K200" s="234"/>
      <c r="L200" s="234"/>
      <c r="M200" s="234"/>
      <c r="N200" s="234">
        <f>N201+N204</f>
        <v>0</v>
      </c>
      <c r="O200" s="234">
        <f t="shared" ref="O200:S200" si="176">O201+O204</f>
        <v>0</v>
      </c>
      <c r="P200" s="234">
        <f t="shared" si="176"/>
        <v>0</v>
      </c>
      <c r="Q200" s="234">
        <f t="shared" si="176"/>
        <v>0</v>
      </c>
      <c r="R200" s="234">
        <f t="shared" si="176"/>
        <v>0</v>
      </c>
      <c r="S200" s="234">
        <f t="shared" si="176"/>
        <v>0</v>
      </c>
      <c r="Y200" s="234">
        <f>Y201+Y204</f>
        <v>0</v>
      </c>
      <c r="Z200" s="234">
        <f t="shared" ref="Z200:AF200" si="177">Z201+Z204</f>
        <v>0</v>
      </c>
      <c r="AA200" s="234">
        <f t="shared" si="177"/>
        <v>0</v>
      </c>
      <c r="AB200" s="234">
        <f t="shared" si="177"/>
        <v>0</v>
      </c>
      <c r="AC200" s="234">
        <f t="shared" si="177"/>
        <v>0</v>
      </c>
      <c r="AD200" s="234">
        <f t="shared" si="177"/>
        <v>0</v>
      </c>
      <c r="AE200" s="234">
        <f t="shared" si="177"/>
        <v>0</v>
      </c>
      <c r="AF200" s="234">
        <f t="shared" si="177"/>
        <v>0</v>
      </c>
    </row>
    <row r="201" spans="1:32" hidden="1" x14ac:dyDescent="0.2">
      <c r="C201" s="235" t="s">
        <v>250</v>
      </c>
      <c r="D201" s="58" t="s">
        <v>251</v>
      </c>
      <c r="E201" s="113" t="s">
        <v>76</v>
      </c>
      <c r="F201" s="236">
        <f>F202*F203/1000</f>
        <v>0</v>
      </c>
      <c r="G201" s="236"/>
      <c r="H201" s="236">
        <f>H202*H203/1000</f>
        <v>0</v>
      </c>
      <c r="I201" s="236"/>
      <c r="J201" s="236"/>
      <c r="K201" s="236"/>
      <c r="L201" s="236"/>
      <c r="M201" s="236"/>
      <c r="N201" s="236">
        <f>N202*N203/1000</f>
        <v>0</v>
      </c>
      <c r="O201" s="236">
        <f t="shared" ref="O201:S201" si="178">O202*O203/1000</f>
        <v>0</v>
      </c>
      <c r="P201" s="236">
        <f t="shared" si="178"/>
        <v>0</v>
      </c>
      <c r="Q201" s="236">
        <f t="shared" si="178"/>
        <v>0</v>
      </c>
      <c r="R201" s="236">
        <f t="shared" si="178"/>
        <v>0</v>
      </c>
      <c r="S201" s="236">
        <f t="shared" si="178"/>
        <v>0</v>
      </c>
      <c r="Y201" s="236">
        <f>Y202*Y203/1000</f>
        <v>0</v>
      </c>
      <c r="Z201" s="236">
        <f t="shared" ref="Z201:AF201" si="179">Z202*Z203/1000</f>
        <v>0</v>
      </c>
      <c r="AA201" s="236">
        <f t="shared" si="179"/>
        <v>0</v>
      </c>
      <c r="AB201" s="236">
        <f t="shared" si="179"/>
        <v>0</v>
      </c>
      <c r="AC201" s="236">
        <f t="shared" si="179"/>
        <v>0</v>
      </c>
      <c r="AD201" s="236">
        <f t="shared" si="179"/>
        <v>0</v>
      </c>
      <c r="AE201" s="236">
        <f t="shared" si="179"/>
        <v>0</v>
      </c>
      <c r="AF201" s="236">
        <f t="shared" si="179"/>
        <v>0</v>
      </c>
    </row>
    <row r="202" spans="1:32" hidden="1" x14ac:dyDescent="0.2">
      <c r="C202" s="235"/>
      <c r="D202" s="26" t="s">
        <v>44</v>
      </c>
      <c r="E202" s="237" t="s">
        <v>29</v>
      </c>
      <c r="F202" s="238"/>
      <c r="G202" s="239"/>
      <c r="H202" s="240"/>
      <c r="I202" s="239"/>
      <c r="J202" s="239"/>
      <c r="K202" s="239"/>
      <c r="L202" s="239"/>
      <c r="M202" s="239"/>
      <c r="N202" s="80">
        <f>N25</f>
        <v>0</v>
      </c>
      <c r="O202" s="80">
        <f t="shared" ref="O202:AF202" si="180">O25</f>
        <v>852.9</v>
      </c>
      <c r="P202" s="80">
        <f t="shared" si="180"/>
        <v>0</v>
      </c>
      <c r="Q202" s="80">
        <f t="shared" si="180"/>
        <v>0</v>
      </c>
      <c r="R202" s="80">
        <f t="shared" si="180"/>
        <v>0</v>
      </c>
      <c r="S202" s="80">
        <f t="shared" si="180"/>
        <v>0</v>
      </c>
      <c r="T202" s="80">
        <f t="shared" si="180"/>
        <v>0</v>
      </c>
      <c r="U202" s="80">
        <f t="shared" si="180"/>
        <v>0</v>
      </c>
      <c r="V202" s="80">
        <f t="shared" si="180"/>
        <v>0</v>
      </c>
      <c r="W202" s="80">
        <f t="shared" si="180"/>
        <v>0</v>
      </c>
      <c r="X202" s="80">
        <f t="shared" si="180"/>
        <v>0</v>
      </c>
      <c r="Y202" s="80">
        <f t="shared" si="180"/>
        <v>0</v>
      </c>
      <c r="Z202" s="80">
        <f t="shared" si="180"/>
        <v>0</v>
      </c>
      <c r="AA202" s="80">
        <f t="shared" si="180"/>
        <v>0</v>
      </c>
      <c r="AB202" s="80">
        <f t="shared" si="180"/>
        <v>0</v>
      </c>
      <c r="AC202" s="80">
        <f t="shared" si="180"/>
        <v>0</v>
      </c>
      <c r="AD202" s="80">
        <f t="shared" si="180"/>
        <v>0</v>
      </c>
      <c r="AE202" s="80">
        <f t="shared" si="180"/>
        <v>0</v>
      </c>
      <c r="AF202" s="80">
        <f t="shared" si="180"/>
        <v>0</v>
      </c>
    </row>
    <row r="203" spans="1:32" hidden="1" x14ac:dyDescent="0.2">
      <c r="C203" s="241"/>
      <c r="D203" s="116" t="s">
        <v>252</v>
      </c>
      <c r="E203" s="242" t="s">
        <v>108</v>
      </c>
      <c r="F203" s="243"/>
      <c r="G203" s="244"/>
      <c r="H203" s="245"/>
      <c r="I203" s="244"/>
      <c r="J203" s="244"/>
      <c r="K203" s="244"/>
      <c r="L203" s="244"/>
      <c r="M203" s="244"/>
      <c r="N203" s="246">
        <v>1509</v>
      </c>
      <c r="O203" s="246"/>
      <c r="P203" s="246"/>
      <c r="Q203" s="246"/>
      <c r="R203" s="246"/>
      <c r="S203" s="246">
        <v>1629.3</v>
      </c>
      <c r="Y203" s="244">
        <v>1120.5</v>
      </c>
      <c r="Z203" s="244">
        <f>ROUND(1139.88*1.11,2)</f>
        <v>1265.27</v>
      </c>
      <c r="AA203" s="244">
        <f>ROUND(Z203*1.11,2)</f>
        <v>1404.45</v>
      </c>
      <c r="AB203" s="244">
        <f t="shared" ref="AB203:AF203" si="181">ROUND(AA203*1.11,2)</f>
        <v>1558.94</v>
      </c>
      <c r="AC203" s="244">
        <f>ROUND(AB203*1.08,2)</f>
        <v>1683.66</v>
      </c>
      <c r="AD203" s="244">
        <f t="shared" si="181"/>
        <v>1868.86</v>
      </c>
      <c r="AE203" s="244">
        <f t="shared" si="181"/>
        <v>2074.4299999999998</v>
      </c>
      <c r="AF203" s="244">
        <f t="shared" si="181"/>
        <v>2302.62</v>
      </c>
    </row>
    <row r="204" spans="1:32" hidden="1" x14ac:dyDescent="0.2">
      <c r="C204" s="235" t="s">
        <v>253</v>
      </c>
      <c r="D204" s="58" t="s">
        <v>254</v>
      </c>
      <c r="E204" s="113" t="s">
        <v>76</v>
      </c>
      <c r="F204" s="236">
        <f>F205*F206/1000</f>
        <v>0</v>
      </c>
      <c r="G204" s="236"/>
      <c r="H204" s="236">
        <f>H205*H206/1000</f>
        <v>0</v>
      </c>
      <c r="I204" s="236"/>
      <c r="J204" s="236"/>
      <c r="K204" s="236"/>
      <c r="L204" s="236"/>
      <c r="M204" s="236"/>
      <c r="N204" s="236">
        <f>N205*N206/1000</f>
        <v>0</v>
      </c>
      <c r="O204" s="236">
        <f t="shared" ref="O204:S204" si="182">O205*O206/1000</f>
        <v>0</v>
      </c>
      <c r="P204" s="236">
        <f t="shared" si="182"/>
        <v>0</v>
      </c>
      <c r="Q204" s="236">
        <f t="shared" si="182"/>
        <v>0</v>
      </c>
      <c r="R204" s="236">
        <f t="shared" si="182"/>
        <v>0</v>
      </c>
      <c r="S204" s="236">
        <f t="shared" si="182"/>
        <v>0</v>
      </c>
      <c r="Y204" s="236">
        <f>Y205*Y206/1000</f>
        <v>0</v>
      </c>
      <c r="Z204" s="236">
        <f t="shared" ref="Z204:AF204" si="183">Z205*Z206/1000</f>
        <v>0</v>
      </c>
      <c r="AA204" s="236">
        <f t="shared" si="183"/>
        <v>0</v>
      </c>
      <c r="AB204" s="236">
        <f t="shared" si="183"/>
        <v>0</v>
      </c>
      <c r="AC204" s="236">
        <f t="shared" si="183"/>
        <v>0</v>
      </c>
      <c r="AD204" s="236">
        <f t="shared" si="183"/>
        <v>0</v>
      </c>
      <c r="AE204" s="236">
        <f t="shared" si="183"/>
        <v>0</v>
      </c>
      <c r="AF204" s="236">
        <f t="shared" si="183"/>
        <v>0</v>
      </c>
    </row>
    <row r="205" spans="1:32" hidden="1" x14ac:dyDescent="0.2">
      <c r="C205" s="235"/>
      <c r="D205" s="26" t="s">
        <v>44</v>
      </c>
      <c r="E205" s="237" t="s">
        <v>29</v>
      </c>
      <c r="F205" s="238"/>
      <c r="G205" s="239"/>
      <c r="H205" s="240"/>
      <c r="I205" s="239"/>
      <c r="J205" s="239"/>
      <c r="K205" s="239"/>
      <c r="L205" s="239"/>
      <c r="M205" s="239"/>
      <c r="N205" s="80"/>
      <c r="O205" s="80"/>
      <c r="P205" s="80"/>
      <c r="Q205" s="80"/>
      <c r="R205" s="80"/>
      <c r="S205" s="80"/>
      <c r="Y205" s="239"/>
      <c r="Z205" s="239"/>
      <c r="AA205" s="239"/>
      <c r="AB205" s="239"/>
      <c r="AC205" s="239"/>
      <c r="AD205" s="239"/>
      <c r="AE205" s="239"/>
      <c r="AF205" s="239"/>
    </row>
    <row r="206" spans="1:32" hidden="1" x14ac:dyDescent="0.2">
      <c r="C206" s="241"/>
      <c r="D206" s="116" t="s">
        <v>252</v>
      </c>
      <c r="E206" s="242" t="s">
        <v>108</v>
      </c>
      <c r="F206" s="243"/>
      <c r="G206" s="244"/>
      <c r="H206" s="245"/>
      <c r="I206" s="244"/>
      <c r="J206" s="244"/>
      <c r="K206" s="244"/>
      <c r="L206" s="244"/>
      <c r="M206" s="244"/>
      <c r="N206" s="246"/>
      <c r="O206" s="246"/>
      <c r="P206" s="246"/>
      <c r="Q206" s="246"/>
      <c r="R206" s="246"/>
      <c r="S206" s="246"/>
      <c r="Y206" s="244"/>
      <c r="Z206" s="244"/>
      <c r="AA206" s="244"/>
      <c r="AB206" s="244"/>
      <c r="AC206" s="244"/>
      <c r="AD206" s="244"/>
      <c r="AE206" s="244"/>
      <c r="AF206" s="244"/>
    </row>
    <row r="207" spans="1:32" hidden="1" x14ac:dyDescent="0.2">
      <c r="E207" s="163"/>
      <c r="F207" s="173"/>
      <c r="G207" s="174"/>
      <c r="H207" s="175"/>
      <c r="I207" s="174"/>
      <c r="J207" s="174"/>
      <c r="K207" s="174"/>
      <c r="L207" s="174"/>
      <c r="M207" s="174"/>
      <c r="N207" s="176"/>
      <c r="O207" s="176"/>
      <c r="P207" s="176"/>
      <c r="Q207" s="176"/>
      <c r="R207" s="176"/>
      <c r="S207" s="176"/>
      <c r="Y207" s="174"/>
      <c r="Z207" s="174"/>
      <c r="AA207" s="174"/>
      <c r="AB207" s="174"/>
      <c r="AC207" s="174"/>
      <c r="AD207" s="174"/>
      <c r="AE207" s="174"/>
      <c r="AF207" s="174"/>
    </row>
    <row r="208" spans="1:32" s="233" customFormat="1" x14ac:dyDescent="0.2">
      <c r="C208" s="108" t="str">
        <f>C51</f>
        <v>13</v>
      </c>
      <c r="D208" s="109" t="str">
        <f>D51</f>
        <v>Общехозяйственные расходы (на реализацию)</v>
      </c>
      <c r="E208" s="120" t="s">
        <v>76</v>
      </c>
      <c r="F208" s="223">
        <v>47.3</v>
      </c>
      <c r="G208" s="223"/>
      <c r="H208" s="223">
        <f>H51</f>
        <v>47.3</v>
      </c>
      <c r="I208" s="223"/>
      <c r="J208" s="223"/>
      <c r="K208" s="223"/>
      <c r="L208" s="223"/>
      <c r="M208" s="223"/>
      <c r="N208" s="223">
        <f>N51</f>
        <v>168.328</v>
      </c>
      <c r="O208" s="223">
        <f t="shared" ref="O208:S208" si="184">O51</f>
        <v>0</v>
      </c>
      <c r="P208" s="223">
        <f t="shared" si="184"/>
        <v>0</v>
      </c>
      <c r="Q208" s="223">
        <f t="shared" si="184"/>
        <v>0</v>
      </c>
      <c r="R208" s="223">
        <f t="shared" si="184"/>
        <v>0</v>
      </c>
      <c r="S208" s="223">
        <f t="shared" si="184"/>
        <v>168.328</v>
      </c>
      <c r="Y208" s="223">
        <f>Y51</f>
        <v>229.94999999999996</v>
      </c>
      <c r="Z208" s="223">
        <f t="shared" ref="Z208:AF208" si="185">Z51</f>
        <v>245.58659999999998</v>
      </c>
      <c r="AA208" s="223">
        <f t="shared" si="185"/>
        <v>262.28648879999997</v>
      </c>
      <c r="AB208" s="223">
        <f t="shared" si="185"/>
        <v>280.12197003839998</v>
      </c>
      <c r="AC208" s="223">
        <f t="shared" si="185"/>
        <v>299.17026400101122</v>
      </c>
      <c r="AD208" s="223">
        <f t="shared" si="185"/>
        <v>319.51384195307998</v>
      </c>
      <c r="AE208" s="223">
        <f t="shared" si="185"/>
        <v>386.61174876322679</v>
      </c>
      <c r="AF208" s="223">
        <f t="shared" si="185"/>
        <v>440.73739359007851</v>
      </c>
    </row>
    <row r="209" spans="1:32" hidden="1" x14ac:dyDescent="0.2">
      <c r="C209" s="22" t="s">
        <v>255</v>
      </c>
      <c r="D209" s="203" t="s">
        <v>256</v>
      </c>
      <c r="E209" s="113" t="s">
        <v>76</v>
      </c>
      <c r="F209" s="123"/>
      <c r="G209" s="200"/>
      <c r="H209" s="146"/>
      <c r="I209" s="200"/>
      <c r="J209" s="200"/>
      <c r="K209" s="200"/>
      <c r="L209" s="200"/>
      <c r="M209" s="200"/>
      <c r="N209" s="59"/>
      <c r="O209" s="59"/>
      <c r="P209" s="59"/>
      <c r="Q209" s="59"/>
      <c r="R209" s="59"/>
      <c r="S209" s="59"/>
      <c r="Y209" s="200"/>
      <c r="Z209" s="200"/>
      <c r="AA209" s="200"/>
      <c r="AB209" s="200"/>
      <c r="AC209" s="200"/>
      <c r="AD209" s="200"/>
      <c r="AE209" s="200"/>
      <c r="AF209" s="200"/>
    </row>
    <row r="210" spans="1:32" ht="30" hidden="1" x14ac:dyDescent="0.2">
      <c r="C210" s="22"/>
      <c r="D210" s="203" t="s">
        <v>257</v>
      </c>
      <c r="E210" s="113" t="s">
        <v>234</v>
      </c>
      <c r="F210" s="123"/>
      <c r="G210" s="200"/>
      <c r="H210" s="146"/>
      <c r="I210" s="200"/>
      <c r="J210" s="200"/>
      <c r="K210" s="200"/>
      <c r="L210" s="200"/>
      <c r="M210" s="200"/>
      <c r="N210" s="59"/>
      <c r="O210" s="59"/>
      <c r="P210" s="59"/>
      <c r="Q210" s="59"/>
      <c r="R210" s="59"/>
      <c r="S210" s="59"/>
      <c r="Y210" s="200"/>
      <c r="Z210" s="200"/>
      <c r="AA210" s="200"/>
      <c r="AB210" s="200"/>
      <c r="AC210" s="200"/>
      <c r="AD210" s="200"/>
      <c r="AE210" s="200"/>
      <c r="AF210" s="200"/>
    </row>
    <row r="211" spans="1:32" hidden="1" x14ac:dyDescent="0.2">
      <c r="A211" s="1" t="s">
        <v>242</v>
      </c>
      <c r="C211" s="22"/>
      <c r="D211" s="203" t="s">
        <v>258</v>
      </c>
      <c r="E211" s="113" t="s">
        <v>236</v>
      </c>
      <c r="F211" s="227" t="str">
        <f>IF(F210&lt;&gt;0,F209/12/F210*1000,"-")</f>
        <v>-</v>
      </c>
      <c r="G211" s="227"/>
      <c r="H211" s="227" t="str">
        <f>IF(H210&lt;&gt;0,H209/12/H210*1000,"-")</f>
        <v>-</v>
      </c>
      <c r="I211" s="227"/>
      <c r="J211" s="227"/>
      <c r="K211" s="227"/>
      <c r="L211" s="227"/>
      <c r="M211" s="227"/>
      <c r="N211" s="227" t="str">
        <f>IF(N210&lt;&gt;0,N209/12/N210*1000,"-")</f>
        <v>-</v>
      </c>
      <c r="O211" s="227" t="str">
        <f t="shared" ref="O211:S211" si="186">IF(O210&lt;&gt;0,O209/12/O210*1000,"-")</f>
        <v>-</v>
      </c>
      <c r="P211" s="227" t="str">
        <f t="shared" si="186"/>
        <v>-</v>
      </c>
      <c r="Q211" s="227" t="str">
        <f t="shared" si="186"/>
        <v>-</v>
      </c>
      <c r="R211" s="227" t="str">
        <f t="shared" si="186"/>
        <v>-</v>
      </c>
      <c r="S211" s="227" t="str">
        <f t="shared" si="186"/>
        <v>-</v>
      </c>
      <c r="Y211" s="227" t="str">
        <f>IF(Y210&lt;&gt;0,Y209/12/Y210*1000,"-")</f>
        <v>-</v>
      </c>
      <c r="Z211" s="227" t="str">
        <f t="shared" ref="Z211:AF211" si="187">IF(Z210&lt;&gt;0,Z209/12/Z210*1000,"-")</f>
        <v>-</v>
      </c>
      <c r="AA211" s="227" t="str">
        <f t="shared" si="187"/>
        <v>-</v>
      </c>
      <c r="AB211" s="227" t="str">
        <f t="shared" si="187"/>
        <v>-</v>
      </c>
      <c r="AC211" s="227" t="str">
        <f t="shared" si="187"/>
        <v>-</v>
      </c>
      <c r="AD211" s="227" t="str">
        <f t="shared" si="187"/>
        <v>-</v>
      </c>
      <c r="AE211" s="227" t="str">
        <f t="shared" si="187"/>
        <v>-</v>
      </c>
      <c r="AF211" s="227" t="str">
        <f t="shared" si="187"/>
        <v>-</v>
      </c>
    </row>
    <row r="212" spans="1:32" hidden="1" x14ac:dyDescent="0.2">
      <c r="C212" s="226" t="s">
        <v>259</v>
      </c>
      <c r="D212" s="50" t="s">
        <v>260</v>
      </c>
      <c r="E212" s="113" t="s">
        <v>76</v>
      </c>
      <c r="F212" s="123"/>
      <c r="G212" s="200"/>
      <c r="H212" s="146"/>
      <c r="I212" s="200"/>
      <c r="J212" s="200"/>
      <c r="K212" s="200"/>
      <c r="L212" s="200"/>
      <c r="M212" s="200"/>
      <c r="N212" s="59"/>
      <c r="O212" s="59"/>
      <c r="P212" s="59"/>
      <c r="Q212" s="59"/>
      <c r="R212" s="59"/>
      <c r="S212" s="59"/>
      <c r="Y212" s="200"/>
      <c r="Z212" s="200"/>
      <c r="AA212" s="200"/>
      <c r="AB212" s="200"/>
      <c r="AC212" s="200"/>
      <c r="AD212" s="200"/>
      <c r="AE212" s="200"/>
      <c r="AF212" s="200"/>
    </row>
    <row r="213" spans="1:32" hidden="1" x14ac:dyDescent="0.2">
      <c r="C213" s="226" t="s">
        <v>261</v>
      </c>
      <c r="D213" s="203" t="s">
        <v>262</v>
      </c>
      <c r="E213" s="113" t="s">
        <v>76</v>
      </c>
      <c r="F213" s="123"/>
      <c r="G213" s="200"/>
      <c r="H213" s="146"/>
      <c r="I213" s="200"/>
      <c r="J213" s="200"/>
      <c r="K213" s="200"/>
      <c r="L213" s="200"/>
      <c r="M213" s="200"/>
      <c r="N213" s="59"/>
      <c r="O213" s="59"/>
      <c r="P213" s="59"/>
      <c r="Q213" s="59"/>
      <c r="R213" s="59"/>
      <c r="S213" s="59"/>
      <c r="Y213" s="200"/>
      <c r="Z213" s="200"/>
      <c r="AA213" s="200"/>
      <c r="AB213" s="200"/>
      <c r="AC213" s="200"/>
      <c r="AD213" s="200"/>
      <c r="AE213" s="200"/>
      <c r="AF213" s="200"/>
    </row>
    <row r="214" spans="1:32" ht="30" hidden="1" x14ac:dyDescent="0.2">
      <c r="C214" s="226" t="s">
        <v>263</v>
      </c>
      <c r="D214" s="203" t="s">
        <v>264</v>
      </c>
      <c r="E214" s="113" t="s">
        <v>76</v>
      </c>
      <c r="F214" s="123"/>
      <c r="G214" s="200"/>
      <c r="H214" s="146"/>
      <c r="I214" s="200"/>
      <c r="J214" s="200"/>
      <c r="K214" s="200"/>
      <c r="L214" s="200"/>
      <c r="M214" s="200"/>
      <c r="N214" s="59"/>
      <c r="O214" s="59"/>
      <c r="P214" s="59"/>
      <c r="Q214" s="59"/>
      <c r="R214" s="59"/>
      <c r="S214" s="59"/>
      <c r="Y214" s="200"/>
      <c r="Z214" s="200"/>
      <c r="AA214" s="200"/>
      <c r="AB214" s="200"/>
      <c r="AC214" s="200"/>
      <c r="AD214" s="200"/>
      <c r="AE214" s="200"/>
      <c r="AF214" s="200"/>
    </row>
    <row r="215" spans="1:32" ht="30" hidden="1" x14ac:dyDescent="0.2">
      <c r="C215" s="226" t="s">
        <v>265</v>
      </c>
      <c r="D215" s="203" t="s">
        <v>266</v>
      </c>
      <c r="E215" s="113" t="s">
        <v>76</v>
      </c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Y215" s="123"/>
      <c r="Z215" s="123"/>
      <c r="AA215" s="123"/>
      <c r="AB215" s="123"/>
      <c r="AC215" s="123"/>
      <c r="AD215" s="123"/>
      <c r="AE215" s="123"/>
      <c r="AF215" s="123"/>
    </row>
    <row r="216" spans="1:32" ht="18" hidden="1" customHeight="1" x14ac:dyDescent="0.2">
      <c r="C216" s="247" t="s">
        <v>267</v>
      </c>
      <c r="D216" s="203" t="s">
        <v>268</v>
      </c>
      <c r="E216" s="113" t="s">
        <v>76</v>
      </c>
      <c r="F216" s="123"/>
      <c r="G216" s="200"/>
      <c r="H216" s="146"/>
      <c r="I216" s="200"/>
      <c r="J216" s="200"/>
      <c r="K216" s="200"/>
      <c r="L216" s="200"/>
      <c r="M216" s="200"/>
      <c r="N216" s="59"/>
      <c r="O216" s="59"/>
      <c r="P216" s="59"/>
      <c r="Q216" s="59"/>
      <c r="R216" s="59"/>
      <c r="S216" s="59"/>
      <c r="Y216" s="200"/>
      <c r="Z216" s="200"/>
      <c r="AA216" s="200"/>
      <c r="AB216" s="200"/>
      <c r="AC216" s="200"/>
      <c r="AD216" s="200"/>
      <c r="AE216" s="200"/>
      <c r="AF216" s="200"/>
    </row>
    <row r="217" spans="1:32" ht="18" hidden="1" customHeight="1" x14ac:dyDescent="0.2">
      <c r="C217" s="247" t="s">
        <v>269</v>
      </c>
      <c r="D217" s="203" t="s">
        <v>270</v>
      </c>
      <c r="E217" s="113" t="s">
        <v>76</v>
      </c>
      <c r="F217" s="123"/>
      <c r="G217" s="200"/>
      <c r="H217" s="146"/>
      <c r="I217" s="200"/>
      <c r="J217" s="200"/>
      <c r="K217" s="200"/>
      <c r="L217" s="200"/>
      <c r="M217" s="200"/>
      <c r="N217" s="59"/>
      <c r="O217" s="59"/>
      <c r="P217" s="59"/>
      <c r="Q217" s="59"/>
      <c r="R217" s="59"/>
      <c r="S217" s="59"/>
      <c r="Y217" s="200"/>
      <c r="Z217" s="200"/>
      <c r="AA217" s="200"/>
      <c r="AB217" s="200"/>
      <c r="AC217" s="200"/>
      <c r="AD217" s="200"/>
      <c r="AE217" s="200"/>
      <c r="AF217" s="200"/>
    </row>
    <row r="218" spans="1:32" ht="18" customHeight="1" x14ac:dyDescent="0.2">
      <c r="C218" s="226" t="s">
        <v>271</v>
      </c>
      <c r="D218" s="203" t="s">
        <v>272</v>
      </c>
      <c r="E218" s="113" t="s">
        <v>76</v>
      </c>
      <c r="F218" s="124">
        <f>F208-F209-F212-F213-F214-F215</f>
        <v>47.3</v>
      </c>
      <c r="G218" s="124"/>
      <c r="H218" s="124">
        <f>H208-H209-H212-H213-H214-H215</f>
        <v>47.3</v>
      </c>
      <c r="I218" s="124"/>
      <c r="J218" s="124"/>
      <c r="K218" s="124"/>
      <c r="L218" s="124"/>
      <c r="M218" s="124"/>
      <c r="N218" s="124">
        <f>N208-N209-N212-N213-N214-N215</f>
        <v>168.328</v>
      </c>
      <c r="O218" s="124">
        <f t="shared" ref="O218:S218" si="188">O208-O209-O212-O213-O214-O215</f>
        <v>0</v>
      </c>
      <c r="P218" s="124">
        <f t="shared" si="188"/>
        <v>0</v>
      </c>
      <c r="Q218" s="124">
        <f t="shared" si="188"/>
        <v>0</v>
      </c>
      <c r="R218" s="124">
        <f t="shared" si="188"/>
        <v>0</v>
      </c>
      <c r="S218" s="124">
        <f t="shared" si="188"/>
        <v>168.328</v>
      </c>
      <c r="Y218" s="124">
        <f>Y208-Y209-Y212-Y213-Y214-Y215</f>
        <v>229.94999999999996</v>
      </c>
      <c r="Z218" s="124">
        <f t="shared" ref="Z218:AF218" si="189">Z208-Z209-Z212-Z213-Z214-Z215</f>
        <v>245.58659999999998</v>
      </c>
      <c r="AA218" s="124">
        <f t="shared" si="189"/>
        <v>262.28648879999997</v>
      </c>
      <c r="AB218" s="124">
        <f t="shared" si="189"/>
        <v>280.12197003839998</v>
      </c>
      <c r="AC218" s="124">
        <f t="shared" si="189"/>
        <v>299.17026400101122</v>
      </c>
      <c r="AD218" s="124">
        <f t="shared" si="189"/>
        <v>319.51384195307998</v>
      </c>
      <c r="AE218" s="124">
        <f t="shared" si="189"/>
        <v>386.61174876322679</v>
      </c>
      <c r="AF218" s="124">
        <f t="shared" si="189"/>
        <v>440.73739359007851</v>
      </c>
    </row>
  </sheetData>
  <sheetProtection formatCells="0" formatRows="0"/>
  <mergeCells count="55">
    <mergeCell ref="C1:AF1"/>
    <mergeCell ref="C2:AF2"/>
    <mergeCell ref="C3:AF3"/>
    <mergeCell ref="C10:C12"/>
    <mergeCell ref="D10:D12"/>
    <mergeCell ref="E10:E12"/>
    <mergeCell ref="F10:M10"/>
    <mergeCell ref="N10:N12"/>
    <mergeCell ref="O10:S10"/>
    <mergeCell ref="Z10:AF10"/>
    <mergeCell ref="S11:S12"/>
    <mergeCell ref="F11:F12"/>
    <mergeCell ref="G11:G12"/>
    <mergeCell ref="H11:H12"/>
    <mergeCell ref="I11:I12"/>
    <mergeCell ref="J11:J12"/>
    <mergeCell ref="K11:K12"/>
    <mergeCell ref="L11:M11"/>
    <mergeCell ref="O11:O12"/>
    <mergeCell ref="P11:P12"/>
    <mergeCell ref="Q11:Q12"/>
    <mergeCell ref="R11:R12"/>
    <mergeCell ref="AE11:AE12"/>
    <mergeCell ref="AF11:AF12"/>
    <mergeCell ref="T30:T35"/>
    <mergeCell ref="U30:V31"/>
    <mergeCell ref="W30:X31"/>
    <mergeCell ref="U32:U35"/>
    <mergeCell ref="V32:V35"/>
    <mergeCell ref="W32:W35"/>
    <mergeCell ref="X32:X35"/>
    <mergeCell ref="Y11:Y12"/>
    <mergeCell ref="Z11:Z12"/>
    <mergeCell ref="AA11:AA12"/>
    <mergeCell ref="AB11:AB12"/>
    <mergeCell ref="AC11:AC12"/>
    <mergeCell ref="AD11:AD12"/>
    <mergeCell ref="O70:S70"/>
    <mergeCell ref="C49:C50"/>
    <mergeCell ref="D49:D50"/>
    <mergeCell ref="C51:C52"/>
    <mergeCell ref="D51:D52"/>
    <mergeCell ref="C53:C54"/>
    <mergeCell ref="D53:D54"/>
    <mergeCell ref="C55:C56"/>
    <mergeCell ref="D55:D56"/>
    <mergeCell ref="C57:C58"/>
    <mergeCell ref="D57:D58"/>
    <mergeCell ref="D70:E70"/>
    <mergeCell ref="O72:S72"/>
    <mergeCell ref="D74:E74"/>
    <mergeCell ref="O74:S74"/>
    <mergeCell ref="D83:D84"/>
    <mergeCell ref="D89:D90"/>
    <mergeCell ref="D72:E72"/>
  </mergeCells>
  <conditionalFormatting sqref="I15:R15">
    <cfRule type="cellIs" dxfId="2" priority="3" stopIfTrue="1" operator="notEqual">
      <formula>SUM(I$16:I$22)</formula>
    </cfRule>
  </conditionalFormatting>
  <conditionalFormatting sqref="Y15:AF15">
    <cfRule type="cellIs" dxfId="1" priority="2" stopIfTrue="1" operator="notEqual">
      <formula>SUM(Y$16:Y$22)</formula>
    </cfRule>
  </conditionalFormatting>
  <conditionalFormatting sqref="S15">
    <cfRule type="cellIs" dxfId="0" priority="1" stopIfTrue="1" operator="notEqual">
      <formula>SUM(S$16:S$22)</formula>
    </cfRule>
  </conditionalFormatting>
  <dataValidations disablePrompts="1" count="1">
    <dataValidation type="list" allowBlank="1" showInputMessage="1" showErrorMessage="1" sqref="F13:S13 Y13:AF13">
      <formula1>$A$13:$A$14</formula1>
    </dataValidation>
  </dataValidations>
  <printOptions horizontalCentered="1"/>
  <pageMargins left="0.39370078740157483" right="0.39370078740157483" top="0.78740157480314965" bottom="0.39370078740157483" header="0.31496062992125984" footer="0.27559055118110237"/>
  <pageSetup paperSize="9" scale="54" fitToHeight="2" orientation="landscape" blackAndWhite="1" r:id="rId1"/>
  <headerFooter alignWithMargins="0"/>
  <rowBreaks count="1" manualBreakCount="1">
    <brk id="69" min="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схема теплоснабжения</vt:lpstr>
      <vt:lpstr>'схема теплоснабжения'!Заголовки_для_печати</vt:lpstr>
      <vt:lpstr>'схема теплоснабжения'!Область_печати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Секретарь</cp:lastModifiedBy>
  <cp:lastPrinted>2013-11-06T08:59:59Z</cp:lastPrinted>
  <dcterms:created xsi:type="dcterms:W3CDTF">2013-06-25T15:44:58Z</dcterms:created>
  <dcterms:modified xsi:type="dcterms:W3CDTF">2013-11-06T09:00:06Z</dcterms:modified>
</cp:coreProperties>
</file>